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ccessEngineering_Books" sheetId="2" r:id="rId1"/>
    <sheet name="AccessEngineering_Videos" sheetId="3" r:id="rId2"/>
    <sheet name="AccessEngineering_Spreadsheets" sheetId="4" r:id="rId3"/>
    <sheet name="Arkusz1" sheetId="1" r:id="rId4"/>
  </sheets>
  <definedNames>
    <definedName name="_xlnm._FilterDatabase" localSheetId="0" hidden="1">AccessEngineering_Books!$A$1:$J$859</definedName>
    <definedName name="_xlnm._FilterDatabase" localSheetId="1" hidden="1">AccessEngineering_Videos!$A$1:$K$1</definedName>
  </definedNames>
  <calcPr calcId="152511" calcMode="manual"/>
</workbook>
</file>

<file path=xl/calcChain.xml><?xml version="1.0" encoding="utf-8"?>
<calcChain xmlns="http://schemas.openxmlformats.org/spreadsheetml/2006/main">
  <c r="B59" i="4" l="1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1085" i="3" l="1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6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859" i="2" l="1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<sst xmlns="http://schemas.openxmlformats.org/spreadsheetml/2006/main" count="14981" uniqueCount="6200">
  <si>
    <t>Content type</t>
  </si>
  <si>
    <t>ID</t>
  </si>
  <si>
    <t>Title</t>
  </si>
  <si>
    <t>Author</t>
  </si>
  <si>
    <t>Publisher</t>
  </si>
  <si>
    <t>Copyright year</t>
  </si>
  <si>
    <t>Date posted</t>
  </si>
  <si>
    <t>Subjects</t>
  </si>
  <si>
    <t>Archived?</t>
  </si>
  <si>
    <t>URL</t>
  </si>
  <si>
    <t>Books</t>
  </si>
  <si>
    <t>Nuclear Chemical Engineering, Second Edition</t>
  </si>
  <si>
    <t>Manson Benedict, Ph.D.</t>
  </si>
  <si>
    <t>McGraw-Hill Professional</t>
  </si>
  <si>
    <t>Nuclear engineering | Nuclear chemical engineering | Fuels</t>
  </si>
  <si>
    <t>No</t>
  </si>
  <si>
    <t>https://www.accessengineeringlibrary.com/content/book/9780070045316</t>
  </si>
  <si>
    <t>Design-Build: Planning Through Development</t>
  </si>
  <si>
    <t>Jeffrey L. Beard</t>
  </si>
  <si>
    <t>Construction management | Operations management | Project management</t>
  </si>
  <si>
    <t>https://www.accessengineeringlibrary.com/content/book/9780070063112</t>
  </si>
  <si>
    <t>Masonry and Concrete</t>
  </si>
  <si>
    <t>Christine Beall</t>
  </si>
  <si>
    <t>Structural engineering | Construction engineering</t>
  </si>
  <si>
    <t>https://www.accessengineeringlibrary.com/content/book/9780070067066</t>
  </si>
  <si>
    <t>Standard Handbook of Audio Engineering, Second Edition</t>
  </si>
  <si>
    <t>Jerry Whitaker</t>
  </si>
  <si>
    <t>Signal processing | Electronics engineering | Communications engineering</t>
  </si>
  <si>
    <t>https://www.accessengineeringlibrary.com/content/book/9780070067172</t>
  </si>
  <si>
    <t>Design for Manufacturability Handbook, Second Edition</t>
  </si>
  <si>
    <t>James G.Bralla</t>
  </si>
  <si>
    <t>1999, 1986</t>
  </si>
  <si>
    <t>Materials applications | Production engineering</t>
  </si>
  <si>
    <t>https://www.accessengineeringlibrary.com/content/book/9780070071391</t>
  </si>
  <si>
    <t>Robotics Technology and Flexible Automation, Second Edition</t>
  </si>
  <si>
    <t>S. R. Deb</t>
  </si>
  <si>
    <t>Mechatronics | Electronics engineering | Materials applications</t>
  </si>
  <si>
    <t>https://www.accessengineeringlibrary.com/content/book/9780070077911</t>
  </si>
  <si>
    <t>Properties of Gases and Liquids, Fifth Edition</t>
  </si>
  <si>
    <t>Bruce E. Poling</t>
  </si>
  <si>
    <t>Chemistry | Chemical thermodynamics | Transport phenomena</t>
  </si>
  <si>
    <t>https://www.accessengineeringlibrary.com/content/book/9780070116825</t>
  </si>
  <si>
    <t>Process/Industrial Instruments and Controls Handbook, Fifth Edition</t>
  </si>
  <si>
    <t>Gregory K. McMillan</t>
  </si>
  <si>
    <t>Yes</t>
  </si>
  <si>
    <t>https://www.accessengineeringlibrary.com/content/book/9780070125827</t>
  </si>
  <si>
    <t>Communications Network Test &amp; Measurement Handbook</t>
  </si>
  <si>
    <t>Clyde F. Coombs, Jr.</t>
  </si>
  <si>
    <t>Communications engineering | Signal processing | Electronics engineering</t>
  </si>
  <si>
    <t>https://www.accessengineeringlibrary.com/content/book/9780070126176</t>
  </si>
  <si>
    <t>Electronic Instrument Handbook, Third Edition</t>
  </si>
  <si>
    <t>Clyde F.Coombs Jr.</t>
  </si>
  <si>
    <t>Electronics engineering | Signal processing</t>
  </si>
  <si>
    <t>https://www.accessengineeringlibrary.com/content/book/9780070126183</t>
  </si>
  <si>
    <t>Standard Handbook of Environmental Engineering, Second Edition</t>
  </si>
  <si>
    <t>Robert A. Corbitt</t>
  </si>
  <si>
    <t>Environmental engineering</t>
  </si>
  <si>
    <t>https://www.accessengineeringlibrary.com/content/book/9780070131606</t>
  </si>
  <si>
    <t>Electric Power Distribution, Sixth edition</t>
  </si>
  <si>
    <t>Amarjit Singh Pabla</t>
  </si>
  <si>
    <t>Power engineering | Electronics engineering</t>
  </si>
  <si>
    <t>https://www.accessengineeringlibrary.com/content/book/9780070144552</t>
  </si>
  <si>
    <t>Understanding Earthquake Disasters</t>
  </si>
  <si>
    <t>Amita Sinvhal (nee Amita Agarwal)</t>
  </si>
  <si>
    <t>Geotechnical engineering | Structural engineering</t>
  </si>
  <si>
    <t>https://www.accessengineeringlibrary.com/content/book/9780070144569</t>
  </si>
  <si>
    <t>Vibration and Acoustics: Measurement and Signal Analysis</t>
  </si>
  <si>
    <t>Prof. C. Sujatha</t>
  </si>
  <si>
    <t>Solid mechanics | Acoustical engineering | Signal processing</t>
  </si>
  <si>
    <t>https://www.accessengineeringlibrary.com/content/book/9780070148789</t>
  </si>
  <si>
    <t>Dimensioning and Tolerancing Handbook</t>
  </si>
  <si>
    <t>Paul Drake, Jr.</t>
  </si>
  <si>
    <t>Production engineering | Quality engineering | Machine design</t>
  </si>
  <si>
    <t>https://www.accessengineeringlibrary.com/content/book/9780070181311</t>
  </si>
  <si>
    <t>Modern Plastics Handbook</t>
  </si>
  <si>
    <t>Charles A. Harper</t>
  </si>
  <si>
    <t>Materials applications | Chemical processes | Production engineering</t>
  </si>
  <si>
    <t>https://www.accessengineeringlibrary.com/content/book/9780070267145</t>
  </si>
  <si>
    <t>Handbook of Complex Environmental Remediation Problems</t>
  </si>
  <si>
    <t>Jay H. Lehr</t>
  </si>
  <si>
    <t>Pollution | Water resources engineering | Safety engineering</t>
  </si>
  <si>
    <t>https://www.accessengineeringlibrary.com/content/book/9780070276895</t>
  </si>
  <si>
    <t>Distillation Design</t>
  </si>
  <si>
    <t>Henry Z. Kister</t>
  </si>
  <si>
    <t>Chemical processes | Chemical processing equipment | Fluid mechanics</t>
  </si>
  <si>
    <t>https://www.accessengineeringlibrary.com/content/book/9780070349094</t>
  </si>
  <si>
    <t>Distillation Operation</t>
  </si>
  <si>
    <t>Chemical processing equipment | Chemical processes | Transport phenomena</t>
  </si>
  <si>
    <t>https://www.accessengineeringlibrary.com/content/book/9780070349100</t>
  </si>
  <si>
    <t>Electric Motor Handbook</t>
  </si>
  <si>
    <t>James L. Kirtley, Jr.</t>
  </si>
  <si>
    <t>Power engineering</t>
  </si>
  <si>
    <t>https://www.accessengineeringlibrary.com/content/book/9780070359710</t>
  </si>
  <si>
    <t>Mobile Communications Engineering: Theory and Applications, Second Edition</t>
  </si>
  <si>
    <t>William C. Y. Lee</t>
  </si>
  <si>
    <t>Communications engineering | Signal processing</t>
  </si>
  <si>
    <t>https://www.accessengineeringlibrary.com/content/book/9780070371033</t>
  </si>
  <si>
    <t>Construction Databook</t>
  </si>
  <si>
    <t>Sidney M. Levy</t>
  </si>
  <si>
    <t>Construction engineering | Structural engineering</t>
  </si>
  <si>
    <t>https://www.accessengineeringlibrary.com/content/book/9780070383654</t>
  </si>
  <si>
    <t>Electronic Failure Analysis Handbook: Techniques and Applications for Electronic and Electrical Packages, Components, and Assemblies</t>
  </si>
  <si>
    <t>Perry L. Martin</t>
  </si>
  <si>
    <t>Electronics engineering | Materials applications | Failure engineering</t>
  </si>
  <si>
    <t>https://www.accessengineeringlibrary.com/content/book/9780070410442</t>
  </si>
  <si>
    <t>Maynardâ€™s Industrial Engineering Handbook, Fifth Edition</t>
  </si>
  <si>
    <t>Kjell B. Zandin</t>
  </si>
  <si>
    <t>Industrial engineering</t>
  </si>
  <si>
    <t>https://www.accessengineeringlibrary.com/content/book/9780070411029</t>
  </si>
  <si>
    <t>Printed Circuit Assembly Design</t>
  </si>
  <si>
    <t>Leonard Marks</t>
  </si>
  <si>
    <t>Electronics engineering | Production engineering | Circuit design</t>
  </si>
  <si>
    <t>https://www.accessengineeringlibrary.com/content/book/9780070411074</t>
  </si>
  <si>
    <t>Hydraulic Design Handbook</t>
  </si>
  <si>
    <t>Larry W. Mays</t>
  </si>
  <si>
    <t>Fluid mechanics | Transport phenomena | Pressure vessels and piping</t>
  </si>
  <si>
    <t>https://www.accessengineeringlibrary.com/content/book/9780070411524</t>
  </si>
  <si>
    <t>Building Design and Construction Handbook, Sixth Edition</t>
  </si>
  <si>
    <t>Frederick S. Merritt</t>
  </si>
  <si>
    <t>Structural engineering | Construction engineering | Materials</t>
  </si>
  <si>
    <t>https://www.accessengineeringlibrary.com/content/book/9780070419995</t>
  </si>
  <si>
    <t>Design of Transformers</t>
  </si>
  <si>
    <t>Indrajit Dasgupta</t>
  </si>
  <si>
    <t>Power engineering | Electronics engineering | Materials applications</t>
  </si>
  <si>
    <t>https://www.accessengineeringlibrary.com/content/book/9780070436404</t>
  </si>
  <si>
    <t>Aboveground Storage Tanks</t>
  </si>
  <si>
    <t>Philip E. Myers</t>
  </si>
  <si>
    <t>Petroleum engineering | Chemical process safety | Fuel handling</t>
  </si>
  <si>
    <t>https://www.accessengineeringlibrary.com/content/book/9780070442726</t>
  </si>
  <si>
    <t>Piping Handbook, Seventh Edition</t>
  </si>
  <si>
    <t>Mohinder L. Nayyar</t>
  </si>
  <si>
    <t>Infrastructure | Pressure vessels and piping | Construction engineering</t>
  </si>
  <si>
    <t>https://www.accessengineeringlibrary.com/content/book/9780070471061</t>
  </si>
  <si>
    <t>Biosolids Engineering</t>
  </si>
  <si>
    <t>Michael J. McFarland</t>
  </si>
  <si>
    <t>Waste engineering | Wastewater engineering</t>
  </si>
  <si>
    <t>https://www.accessengineeringlibrary.com/content/book/9780070471788</t>
  </si>
  <si>
    <t>Failure Prevention of Plant and Machinery</t>
  </si>
  <si>
    <t>A. A. Hattangadi</t>
  </si>
  <si>
    <t>Failure engineering | Machine design | Materials applications</t>
  </si>
  <si>
    <t>https://www.accessengineeringlibrary.com/content/book/9780070483095</t>
  </si>
  <si>
    <t>Transformers, Second Edition</t>
  </si>
  <si>
    <t>BHEL (Bharat Heavy Electricals Limited)</t>
  </si>
  <si>
    <t>https://www.accessengineeringlibrary.com/content/book/9780070483156</t>
  </si>
  <si>
    <t>TROUBLESHOOTING ELECTRONIC EQUIPMENT: Includes Repair And Maintenance, Second Edition</t>
  </si>
  <si>
    <t>Dr R.S. Khandpur</t>
  </si>
  <si>
    <t>Electronics engineering | Materials applications</t>
  </si>
  <si>
    <t>https://www.accessengineeringlibrary.com/content/book/9780070483576</t>
  </si>
  <si>
    <t>Brownfields: Redeveloping Environmentally Distressed Properties</t>
  </si>
  <si>
    <t>Harold J. Rafson</t>
  </si>
  <si>
    <t>Land development | Pollution | Safety engineering</t>
  </si>
  <si>
    <t>https://www.accessengineeringlibrary.com/content/book/9780070527683</t>
  </si>
  <si>
    <t>3G Networks: Architecture, Protocols &amp; Procedures</t>
  </si>
  <si>
    <t>Sumit Kasera</t>
  </si>
  <si>
    <t>https://www.accessengineeringlibrary.com/content/book/9780070527997</t>
  </si>
  <si>
    <t>FIBRE SCIENCE AND TECHNOLOGY</t>
  </si>
  <si>
    <t>Dr Premamoy Ghosh, Ph.D.</t>
  </si>
  <si>
    <t>Chemistry | Materials | Materials applications</t>
  </si>
  <si>
    <t>https://www.accessengineeringlibrary.com/content/book/9780070528031</t>
  </si>
  <si>
    <t>Handbook of Heat Transfer</t>
  </si>
  <si>
    <t>Warren M. Rohsenow</t>
  </si>
  <si>
    <t>Transport phenomena | Heat transfer</t>
  </si>
  <si>
    <t>https://www.accessengineeringlibrary.com/content/book/9780070535558</t>
  </si>
  <si>
    <t>Electronic Technology Handbook</t>
  </si>
  <si>
    <t>Neil Sclater</t>
  </si>
  <si>
    <t>Electronics engineering | Communications engineering</t>
  </si>
  <si>
    <t>https://www.accessengineeringlibrary.com/content/book/9780070580480</t>
  </si>
  <si>
    <t>Testing of Metals</t>
  </si>
  <si>
    <t>Alok Nayar</t>
  </si>
  <si>
    <t>Materials applications | Materials | Construction engineering</t>
  </si>
  <si>
    <t>https://www.accessengineeringlibrary.com/content/book/9780070581647</t>
  </si>
  <si>
    <t>Bioinformatics: Principles and Applications</t>
  </si>
  <si>
    <t>Harshawardhan P. Bal</t>
  </si>
  <si>
    <t>https://www.accessengineeringlibrary.com/content/book/9780070583207</t>
  </si>
  <si>
    <t>ATM NETWORKS: Concepts and Protocols, Second Edition</t>
  </si>
  <si>
    <t>https://www.accessengineeringlibrary.com/content/book/9780070583535</t>
  </si>
  <si>
    <t>Communication Networks: Principles and Practice</t>
  </si>
  <si>
    <t>https://www.accessengineeringlibrary.com/content/book/9780070583542</t>
  </si>
  <si>
    <t>Practical Optical System Layout: And Use of Stock Lenses</t>
  </si>
  <si>
    <t>Warren J. Smith</t>
  </si>
  <si>
    <t>Optical engineering | Material properties</t>
  </si>
  <si>
    <t>https://www.accessengineeringlibrary.com/content/book/9780070592544</t>
  </si>
  <si>
    <t>Basics of CMOS Cell Design</t>
  </si>
  <si>
    <t>Etienne Sicard</t>
  </si>
  <si>
    <t>https://www.accessengineeringlibrary.com/content/book/9780070599338</t>
  </si>
  <si>
    <t>Handbook of Analytical Instruments, Second Edition</t>
  </si>
  <si>
    <t>Dr R S Khandpur</t>
  </si>
  <si>
    <t>Electronics engineering | Optical engineering</t>
  </si>
  <si>
    <t>https://www.accessengineeringlibrary.com/content/book/9780070604605</t>
  </si>
  <si>
    <t>Land Treatment Systems for Municipal and Industrial Wastes</t>
  </si>
  <si>
    <t>Ronald W. Crites</t>
  </si>
  <si>
    <t>https://www.accessengineeringlibrary.com/content/book/9780070610408</t>
  </si>
  <si>
    <t>Industrial Refrigeration Handbook</t>
  </si>
  <si>
    <t>Wilbert F. Stoecker</t>
  </si>
  <si>
    <t>Thermal engineering | Transport phenomena | Fluid mechanics</t>
  </si>
  <si>
    <t>https://www.accessengineeringlibrary.com/content/book/9780070616233</t>
  </si>
  <si>
    <t>Machine Tools Handbook: Design and Operation</t>
  </si>
  <si>
    <t>Prakash Hiralal Joshi, DME, AMIE (India)</t>
  </si>
  <si>
    <t>Machine design | Materials applications</t>
  </si>
  <si>
    <t>https://www.accessengineeringlibrary.com/content/book/9780070617391</t>
  </si>
  <si>
    <t>Industrial Safety Management: Hazard Identification and Risk Control</t>
  </si>
  <si>
    <t>L. M. Deshmukh</t>
  </si>
  <si>
    <t>Safety engineering | Construction engineering</t>
  </si>
  <si>
    <t>https://www.accessengineeringlibrary.com/content/book/9780070617681</t>
  </si>
  <si>
    <t>Precision Engineering</t>
  </si>
  <si>
    <t>V. C. Venkatesh</t>
  </si>
  <si>
    <t>Materials applications | Machine design | Production engineering</t>
  </si>
  <si>
    <t>https://www.accessengineeringlibrary.com/content/book/9780070620902</t>
  </si>
  <si>
    <t>Residential, Commercial and Industrial Electrical Systems: Equipment and Selection, Volume 1</t>
  </si>
  <si>
    <t>Hemant Joshi</t>
  </si>
  <si>
    <t>https://www.accessengineeringlibrary.com/content/book/9780070620964</t>
  </si>
  <si>
    <t>Residential, Commercial and Industrial Electrical Systems: Network and Installation, Volume 2</t>
  </si>
  <si>
    <t>https://www.accessengineeringlibrary.com/content/book/9780070620971</t>
  </si>
  <si>
    <t>Residential, Commercial and Industrial Electrical Systems: Protection, Testing and Commissioning, Volume 3</t>
  </si>
  <si>
    <t>https://www.accessengineeringlibrary.com/content/book/9780070620988</t>
  </si>
  <si>
    <t>Wastewater Treatment for Pollution Control and Reuse, Third Edition</t>
  </si>
  <si>
    <t>Soli J Arceivala</t>
  </si>
  <si>
    <t>Waste engineering | Wastewater engineering | Water resources engineering</t>
  </si>
  <si>
    <t>https://www.accessengineeringlibrary.com/content/book/9780070620995</t>
  </si>
  <si>
    <t>2.5G MOBILE NETWORKS: GPRS and EDGE</t>
  </si>
  <si>
    <t>https://www.accessengineeringlibrary.com/content/book/9780070656925</t>
  </si>
  <si>
    <t>Bridge Engineering, Second edition</t>
  </si>
  <si>
    <t>S Ponnuswamy</t>
  </si>
  <si>
    <t>https://www.accessengineeringlibrary.com/content/book/9780070656956</t>
  </si>
  <si>
    <t>Elements of Fracture Mechanics</t>
  </si>
  <si>
    <t>Prof. Prashant Kumar</t>
  </si>
  <si>
    <t>Materials applications</t>
  </si>
  <si>
    <t>https://www.accessengineeringlibrary.com/content/book/9780070656963</t>
  </si>
  <si>
    <t>Water Wells and Pumps, Second Edition</t>
  </si>
  <si>
    <t>S D Khepar, M E (Roorkee), Ph D. (IIT, Delhi)</t>
  </si>
  <si>
    <t>https://www.accessengineeringlibrary.com/content/book/9780070657069</t>
  </si>
  <si>
    <t>Railway Track Engineering, Fourth Edition</t>
  </si>
  <si>
    <t>J S Mundrey</t>
  </si>
  <si>
    <t>Transportation engineering | Structural engineering | Construction engineering</t>
  </si>
  <si>
    <t>https://www.accessengineeringlibrary.com/content/book/9780070680128</t>
  </si>
  <si>
    <t>Jigs and Fixtures, Third Edition</t>
  </si>
  <si>
    <t>Materials applications | Production engineering | Control engineering</t>
  </si>
  <si>
    <t>https://www.accessengineeringlibrary.com/content/book/9780070680739</t>
  </si>
  <si>
    <t>Handbook of Air Conditioning and Refrigeration, 2/e</t>
  </si>
  <si>
    <t>Shan K. Wang</t>
  </si>
  <si>
    <t>Heating ventilation and air conditioning | Transport phenomena | Fluid mechanics</t>
  </si>
  <si>
    <t>https://www.accessengineeringlibrary.com/content/book/9780070681675</t>
  </si>
  <si>
    <t>Radiant Heating and Cooling Handbook</t>
  </si>
  <si>
    <t>Richard D. Watson</t>
  </si>
  <si>
    <t>Materials applications | Heating ventilation and air conditioning | Transport phenomena</t>
  </si>
  <si>
    <t>https://www.accessengineeringlibrary.com/content/book/9780070684997</t>
  </si>
  <si>
    <t>Time-Saver Standards for Urban Design</t>
  </si>
  <si>
    <t>Donald Watson</t>
  </si>
  <si>
    <t>Urban engineering | Sustainability | Construction engineering</t>
  </si>
  <si>
    <t>https://www.accessengineeringlibrary.com/content/book/9780070685079</t>
  </si>
  <si>
    <t>Electro-Optics Handbook, Second Edition</t>
  </si>
  <si>
    <t>Ronald W Waynant</t>
  </si>
  <si>
    <t>Optical engineering | Electronics engineering</t>
  </si>
  <si>
    <t>https://www.accessengineeringlibrary.com/content/book/9780070687165</t>
  </si>
  <si>
    <t>Manual of Applied Field Hydrogeology</t>
  </si>
  <si>
    <t>Willis D.Weight</t>
  </si>
  <si>
    <t>Water resources engineering | Transport phenomena | Fluid mechanics</t>
  </si>
  <si>
    <t>https://www.accessengineeringlibrary.com/content/book/9780070696396</t>
  </si>
  <si>
    <t>Bioreactors: Analysis and Design</t>
  </si>
  <si>
    <t>Professor Tapobrata Panda</t>
  </si>
  <si>
    <t>Biochemical engineering</t>
  </si>
  <si>
    <t>https://www.accessengineeringlibrary.com/content/book/9780070704244</t>
  </si>
  <si>
    <t>ALUMINIUM ROLLING: Processes, Principles &amp; Applications</t>
  </si>
  <si>
    <t>R. V. Singh</t>
  </si>
  <si>
    <t>https://www.accessengineeringlibrary.com/content/book/9780070704442</t>
  </si>
  <si>
    <t>Airport Ground Navigation Systems</t>
  </si>
  <si>
    <t>Dr. Arjun Singh</t>
  </si>
  <si>
    <t>Communications engineering | Electronics engineering | Signal processing</t>
  </si>
  <si>
    <t>https://www.accessengineeringlibrary.com/content/book/9780070704459</t>
  </si>
  <si>
    <t>Turbines, Compressors and Fans, Fourth Edition</t>
  </si>
  <si>
    <t>S.M. Yahya, Ph.D.</t>
  </si>
  <si>
    <t>Power engineering | Transport phenomena | Fluid mechanics</t>
  </si>
  <si>
    <t>https://www.accessengineeringlibrary.com/content/book/9780070707023</t>
  </si>
  <si>
    <t>Non-Destructive Test and Evaluation of Materials, Second Edition</t>
  </si>
  <si>
    <t>J Prasad</t>
  </si>
  <si>
    <t>Materials applications | Quality engineering | Optical engineering</t>
  </si>
  <si>
    <t>https://www.accessengineeringlibrary.com/content/book/9780070707030</t>
  </si>
  <si>
    <t>Polymer Science and Technology: Plastics, Rubbers, Blends and Composites, Third Edition</t>
  </si>
  <si>
    <t>https://www.accessengineeringlibrary.com/content/book/9780070707047</t>
  </si>
  <si>
    <t>Managing Teams</t>
  </si>
  <si>
    <t>Larry Holpp</t>
  </si>
  <si>
    <t>Business management</t>
  </si>
  <si>
    <t>https://www.accessengineeringlibrary.com/content/book/9780070718654</t>
  </si>
  <si>
    <t>Chemical Properties Handbook</t>
  </si>
  <si>
    <t>Carl L. Yaws, Ph.D.</t>
  </si>
  <si>
    <t>https://www.accessengineeringlibrary.com/content/book/9780070734012</t>
  </si>
  <si>
    <t>Electrical Power Distribution</t>
  </si>
  <si>
    <t>TETRA TECH</t>
  </si>
  <si>
    <t>Power engineering | Human resource management | Electronics engineering</t>
  </si>
  <si>
    <t>https://www.accessengineeringlibrary.com/content/book/9780071333016</t>
  </si>
  <si>
    <t>Water Distribution System Handbook</t>
  </si>
  <si>
    <t>Water resources engineering | Fluid mechanics | Transport phenomena</t>
  </si>
  <si>
    <t>https://www.accessengineeringlibrary.com/content/book/9780071342131</t>
  </si>
  <si>
    <t>Power Quality Primer</t>
  </si>
  <si>
    <t>Barry W. Kennedy</t>
  </si>
  <si>
    <t>https://www.accessengineeringlibrary.com/content/book/9780071344166</t>
  </si>
  <si>
    <t>Practical Foundation Engineering Handbook, Second Edition</t>
  </si>
  <si>
    <t>Robert Wade Brown</t>
  </si>
  <si>
    <t>Structural engineering | Geotechnical engineering | Construction engineering</t>
  </si>
  <si>
    <t>https://www.accessengineeringlibrary.com/content/book/9780071351393</t>
  </si>
  <si>
    <t>Bringing Out the Best in People</t>
  </si>
  <si>
    <t>Aubrey C. Daniels, Ph.D.</t>
  </si>
  <si>
    <t>Leadership</t>
  </si>
  <si>
    <t>https://www.accessengineeringlibrary.com/content/book/9780071351454</t>
  </si>
  <si>
    <t>Environmental Monitoring Handbook</t>
  </si>
  <si>
    <t>Frank R. Burden</t>
  </si>
  <si>
    <t>Pollution | Water resources engineering | Geological engineering</t>
  </si>
  <si>
    <t>https://www.accessengineeringlibrary.com/content/book/9780071351768</t>
  </si>
  <si>
    <t>Wireless Telecommunications Networking with ANSI-41, Second Edition</t>
  </si>
  <si>
    <t>Randall A. Snyder</t>
  </si>
  <si>
    <t>Communications engineering | Security engineering | Computer security</t>
  </si>
  <si>
    <t>https://www.accessengineeringlibrary.com/content/book/9780071352314</t>
  </si>
  <si>
    <t>Facility Design and Management Handbook</t>
  </si>
  <si>
    <t>Eric Teicholz</t>
  </si>
  <si>
    <t>Facility management | Engineering economics | Maintenance engineering</t>
  </si>
  <si>
    <t>https://www.accessengineeringlibrary.com/content/book/9780071353946</t>
  </si>
  <si>
    <t>Stormwater Collection Systems Design Handbook</t>
  </si>
  <si>
    <t>Water resources engineering | Sustainability | Land development</t>
  </si>
  <si>
    <t>https://www.accessengineeringlibrary.com/content/book/9780071354714</t>
  </si>
  <si>
    <t>Skills for New Managers</t>
  </si>
  <si>
    <t>Morey Stettner</t>
  </si>
  <si>
    <t>https://www.accessengineeringlibrary.com/content/book/9780071356183</t>
  </si>
  <si>
    <t>Handbook of Solid Waste Management, Second Edition</t>
  </si>
  <si>
    <t>George Tchobanoglous</t>
  </si>
  <si>
    <t>Waste engineering</t>
  </si>
  <si>
    <t>https://www.accessengineeringlibrary.com/content/book/9780071356237</t>
  </si>
  <si>
    <t>Standard Handbook of Biomedical Engineering &amp; Design</t>
  </si>
  <si>
    <t>Myer Kutz</t>
  </si>
  <si>
    <t>https://www.accessengineeringlibrary.com/content/book/9780071356374</t>
  </si>
  <si>
    <t>Failure Analysis of Engineering Materials</t>
  </si>
  <si>
    <t>Charlie R. Brooks</t>
  </si>
  <si>
    <t>Materials applications | Materials | Failure engineering</t>
  </si>
  <si>
    <t>https://www.accessengineeringlibrary.com/content/book/9780071357586</t>
  </si>
  <si>
    <t>IC Layout Basics: A Practical Guide</t>
  </si>
  <si>
    <t>Christopher Saint</t>
  </si>
  <si>
    <t>https://www.accessengineeringlibrary.com/content/book/9780071386258</t>
  </si>
  <si>
    <t>Area Array Packaging Handbook: Manufacturing and Assembly</t>
  </si>
  <si>
    <t>Ken Gilleo</t>
  </si>
  <si>
    <t>Materials applications | Production engineering | Electronics engineering</t>
  </si>
  <si>
    <t>https://www.accessengineeringlibrary.com/content/book/9780071374934</t>
  </si>
  <si>
    <t>Construction Building Envelope and Interior Finishes Databook</t>
  </si>
  <si>
    <t>https://www.accessengineeringlibrary.com/content/book/9780071360227</t>
  </si>
  <si>
    <t>Say It With Charts: The Executive's Guide to Visual Communication, Fourth Edition</t>
  </si>
  <si>
    <t>Gene Zelazny</t>
  </si>
  <si>
    <t>Business communication</t>
  </si>
  <si>
    <t>https://www.accessengineeringlibrary.com/content/book/9780071369978</t>
  </si>
  <si>
    <t>Communications Receivers: DSP, Software Radios, and Design, Third Edition</t>
  </si>
  <si>
    <t>Ulrich L. Rohde</t>
  </si>
  <si>
    <t>https://www.accessengineeringlibrary.com/content/book/9780071361217</t>
  </si>
  <si>
    <t>Materials Handbook: An Encyclopedia for Managers, Technical Professionals, Purchasing and Production Managers, Technicians, and Supervisors, Fifteenth Edition</t>
  </si>
  <si>
    <t>George S. Brady</t>
  </si>
  <si>
    <t>Materials | Construction engineering</t>
  </si>
  <si>
    <t>https://www.accessengineeringlibrary.com/content/book/9780071360760</t>
  </si>
  <si>
    <t>Plastic Piping Handbook</t>
  </si>
  <si>
    <t>David A. Willoughby</t>
  </si>
  <si>
    <t>https://www.accessengineeringlibrary.com/content/book/9780071359566</t>
  </si>
  <si>
    <t>Architectural Engineering Design: Mechanical Systems</t>
  </si>
  <si>
    <t>Robert Brown Butler</t>
  </si>
  <si>
    <t>Electronics engineering | Construction engineering | Pressure vessels and piping</t>
  </si>
  <si>
    <t>https://www.accessengineeringlibrary.com/content/book/9780071385466</t>
  </si>
  <si>
    <t>Handbook of Machining and Metalworking Calculations</t>
  </si>
  <si>
    <t>Ronald A.Walsh</t>
  </si>
  <si>
    <t>Materials applications | Production engineering | Machine design</t>
  </si>
  <si>
    <t>https://www.accessengineeringlibrary.com/content/book/9780071360661</t>
  </si>
  <si>
    <t>CAM Design Handbook</t>
  </si>
  <si>
    <t>Harold A. Rothbart</t>
  </si>
  <si>
    <t>Solid mechanics | Machine design | Electronics engineering</t>
  </si>
  <si>
    <t>https://www.accessengineeringlibrary.com/content/book/9780071377577</t>
  </si>
  <si>
    <t>Standard Handbook for Aeronautical and Astronautical Engineers</t>
  </si>
  <si>
    <t>Mark Davies</t>
  </si>
  <si>
    <t>https://www.accessengineeringlibrary.com/content/book/9780071362290</t>
  </si>
  <si>
    <t>Laser Guidebook, Second Edition</t>
  </si>
  <si>
    <t>Jeff Hecht</t>
  </si>
  <si>
    <t>Optical engineering</t>
  </si>
  <si>
    <t>https://www.accessengineeringlibrary.com/content/book/9780071359672</t>
  </si>
  <si>
    <t>Spread Spectrum Communications Handbook, Electronic Edition</t>
  </si>
  <si>
    <t>Marvin Simon</t>
  </si>
  <si>
    <t>Signal processing | Communications engineering</t>
  </si>
  <si>
    <t>https://www.accessengineeringlibrary.com/content/book/9780071382151</t>
  </si>
  <si>
    <t>3G Wireless Networks</t>
  </si>
  <si>
    <t>Clint Smith</t>
  </si>
  <si>
    <t>https://www.accessengineeringlibrary.com/content/book/9780071363815</t>
  </si>
  <si>
    <t>Handbook of Petroleum Refining Processes, Third Edition</t>
  </si>
  <si>
    <t>Robert A. Meyers</t>
  </si>
  <si>
    <t>https://www.accessengineeringlibrary.com/content/book/9780071391092</t>
  </si>
  <si>
    <t>Geotechnical Earthquake Engineering Handbook</t>
  </si>
  <si>
    <t>Robert W. Day</t>
  </si>
  <si>
    <t>https://www.accessengineeringlibrary.com/content/book/9780071377829</t>
  </si>
  <si>
    <t>Electronics Manufacturing: With Lead-Free, Halogen-Free, and Conductive-Adhesive Materials</t>
  </si>
  <si>
    <t>John H. Lau</t>
  </si>
  <si>
    <t>https://www.accessengineeringlibrary.com/content/book/9780071386241</t>
  </si>
  <si>
    <t>Formulas for Structural Dynamics: Tables, Graphs and Solutions</t>
  </si>
  <si>
    <t>Igor A. Karnovsky</t>
  </si>
  <si>
    <t>Solid mechanics | Structural engineering</t>
  </si>
  <si>
    <t>https://www.accessengineeringlibrary.com/content/book/9780071367127</t>
  </si>
  <si>
    <t>Microvias: For Low Cost, High Density Interconnects</t>
  </si>
  <si>
    <t>Electronics engineering | Production engineering | Materials applications</t>
  </si>
  <si>
    <t>https://www.accessengineeringlibrary.com/content/book/9780071363273</t>
  </si>
  <si>
    <t>Negotiating Skills for Managers</t>
  </si>
  <si>
    <t>Steven P. Cohen</t>
  </si>
  <si>
    <t>https://www.accessengineeringlibrary.com/content/book/9780071387576</t>
  </si>
  <si>
    <t>Wireless Security: Models, Threats, and Solutions</t>
  </si>
  <si>
    <t>Randall K. Nichols</t>
  </si>
  <si>
    <t>https://www.accessengineeringlibrary.com/content/book/9780071380386</t>
  </si>
  <si>
    <t>IC Mask Design: Essential Layout Techniques</t>
  </si>
  <si>
    <t>https://www.accessengineeringlibrary.com/content/book/9780071389969</t>
  </si>
  <si>
    <t>Master Handbook of Acoustics, Fourth Edition</t>
  </si>
  <si>
    <t>F. Alton Everest</t>
  </si>
  <si>
    <t>Acoustical engineering | Signal processing | Optical engineering</t>
  </si>
  <si>
    <t>https://www.accessengineeringlibrary.com/content/book/9780071360975</t>
  </si>
  <si>
    <t>Urban Water Supply Handbook</t>
  </si>
  <si>
    <t>Water resources engineering | Natural resources management | Sustainability</t>
  </si>
  <si>
    <t>https://www.accessengineeringlibrary.com/content/book/9780071371605</t>
  </si>
  <si>
    <t>Communicating Effectively</t>
  </si>
  <si>
    <t>Lani Arrendondo</t>
  </si>
  <si>
    <t>https://www.accessengineeringlibrary.com/content/book/9780071364294</t>
  </si>
  <si>
    <t>Handbook of Plastics, Elastomers, and Composites, Fourth Edition</t>
  </si>
  <si>
    <t>https://www.accessengineeringlibrary.com/content/book/9780071384766</t>
  </si>
  <si>
    <t>Machine Design Databook, Second Edition</t>
  </si>
  <si>
    <t>K. Lingaiah</t>
  </si>
  <si>
    <t>Solid mechanics | Machine design | Structural engineering</t>
  </si>
  <si>
    <t>https://www.accessengineeringlibrary.com/content/book/9780071367073</t>
  </si>
  <si>
    <t>Fundamentals of Microsystems Packaging</t>
  </si>
  <si>
    <t>Rao R. Tummala</t>
  </si>
  <si>
    <t>https://www.accessengineeringlibrary.com/content/book/9780071371698</t>
  </si>
  <si>
    <t>Supply Chain Strategy: The Logistics of Supply Chain Management</t>
  </si>
  <si>
    <t>Edward Frazelle, Ph.D.</t>
  </si>
  <si>
    <t>Operations management</t>
  </si>
  <si>
    <t>https://www.accessengineeringlibrary.com/content/book/9780071375993</t>
  </si>
  <si>
    <t>Handbook of Electric Power Calculations, Third Edition</t>
  </si>
  <si>
    <t>H. Wayne Beaty</t>
  </si>
  <si>
    <t>https://www.accessengineeringlibrary.com/content/book/9780071362986</t>
  </si>
  <si>
    <t>Optical Communications Rules of Thumb</t>
  </si>
  <si>
    <t>John Lester Miller</t>
  </si>
  <si>
    <t>Optical engineering | Signal processing</t>
  </si>
  <si>
    <t>https://www.accessengineeringlibrary.com/content/book/9780071387781</t>
  </si>
  <si>
    <t>Adhesion of Polymers</t>
  </si>
  <si>
    <t>Roman A. Veselovsky</t>
  </si>
  <si>
    <t>https://www.accessengineeringlibrary.com/content/book/9780071370455</t>
  </si>
  <si>
    <t>Fluid Flow Handbook</t>
  </si>
  <si>
    <t>Jamal M. Saleh</t>
  </si>
  <si>
    <t>Transport phenomena | Fluid mechanics</t>
  </si>
  <si>
    <t>https://www.accessengineeringlibrary.com/content/book/9780071363723</t>
  </si>
  <si>
    <t>Standard Handbook of Plant Engineering, Third Edition</t>
  </si>
  <si>
    <t>Robert C. Rosaler</t>
  </si>
  <si>
    <t>Power engineering | Machine design | Construction engineering</t>
  </si>
  <si>
    <t>https://www.accessengineeringlibrary.com/content/book/9780071361927</t>
  </si>
  <si>
    <t>Conflict Resolution</t>
  </si>
  <si>
    <t>Daniel Dana, Ph.D.</t>
  </si>
  <si>
    <t>Business management | Human resource management</t>
  </si>
  <si>
    <t>https://www.accessengineeringlibrary.com/content/book/9780071364317</t>
  </si>
  <si>
    <t>Earth Retention Systems Handbook</t>
  </si>
  <si>
    <t>Alan Macnab</t>
  </si>
  <si>
    <t>Geotechnical engineering | Structural engineering | Construction engineering</t>
  </si>
  <si>
    <t>https://www.accessengineeringlibrary.com/content/book/9780071373319</t>
  </si>
  <si>
    <t>Industrial Chemical Process Design</t>
  </si>
  <si>
    <t>Douglas L. Erwin</t>
  </si>
  <si>
    <t>https://www.accessengineeringlibrary.com/content/book/9780071376204</t>
  </si>
  <si>
    <t>Handbook of Electrical Design Details, Second Edition</t>
  </si>
  <si>
    <t>https://www.accessengineeringlibrary.com/content/book/9780071377515</t>
  </si>
  <si>
    <t>Photonics Rules of Thumb: Optics, Electro-Optics, Fiber Optics, and Lasers, Second Edition</t>
  </si>
  <si>
    <t>Ed Friedman</t>
  </si>
  <si>
    <t>Optical engineering | Electronics engineering | Material properties</t>
  </si>
  <si>
    <t>https://www.accessengineeringlibrary.com/content/book/9780071385190</t>
  </si>
  <si>
    <t>Secrets of RF Circuit Design , Third Edition</t>
  </si>
  <si>
    <t>Joseph J. Carr</t>
  </si>
  <si>
    <t>https://www.accessengineeringlibrary.com/content/book/9780071370677</t>
  </si>
  <si>
    <t>Chemical Process and Design Handbook</t>
  </si>
  <si>
    <t>James G. Speight</t>
  </si>
  <si>
    <t>Chemical processes | Production engineering</t>
  </si>
  <si>
    <t>https://www.accessengineeringlibrary.com/content/book/9780071374330</t>
  </si>
  <si>
    <t>Site Planning and Design Handbook</t>
  </si>
  <si>
    <t>Thomas H. Russ</t>
  </si>
  <si>
    <t>Land development | Geological engineering | Sustainability</t>
  </si>
  <si>
    <t>https://www.accessengineeringlibrary.com/content/book/9780071377843</t>
  </si>
  <si>
    <t>Standard Handbook of Electronic Engineering, Fifth Edition</t>
  </si>
  <si>
    <t>Donald Christiansen</t>
  </si>
  <si>
    <t>Electronics engineering | Signal processing | Communications engineering</t>
  </si>
  <si>
    <t>https://www.accessengineeringlibrary.com/content/book/9780071384216</t>
  </si>
  <si>
    <t>Environmental Assessment, Second Edition</t>
  </si>
  <si>
    <t>R. K. Jain</t>
  </si>
  <si>
    <t>Land development | Environmental management</t>
  </si>
  <si>
    <t>https://www.accessengineeringlibrary.com/content/book/9780071370080</t>
  </si>
  <si>
    <t>Standard Handbook for Civil Engineers</t>
  </si>
  <si>
    <t>Jonathan T. Ricketts</t>
  </si>
  <si>
    <t>Civil engineering</t>
  </si>
  <si>
    <t>https://www.accessengineeringlibrary.com/content/book/9780071364737</t>
  </si>
  <si>
    <t>CDMA Capacity and Quality Optimization</t>
  </si>
  <si>
    <t>Adam N. Rosenberg</t>
  </si>
  <si>
    <t>https://www.accessengineeringlibrary.com/content/book/9780071399197</t>
  </si>
  <si>
    <t>VHDL : Programming By Example, Fourth Edition</t>
  </si>
  <si>
    <t>Douglas L. Perry</t>
  </si>
  <si>
    <t>https://www.accessengineeringlibrary.com/content/book/9780071400701</t>
  </si>
  <si>
    <t>Manufacturing Engineering Handbook</t>
  </si>
  <si>
    <t>Hwaiyu Geng</t>
  </si>
  <si>
    <t>https://www.accessengineeringlibrary.com/content/book/9780071398251</t>
  </si>
  <si>
    <t>Photonics Essentials</t>
  </si>
  <si>
    <t>Thomas P. Pearsall</t>
  </si>
  <si>
    <t>https://www.accessengineeringlibrary.com/content/book/9780071408752</t>
  </si>
  <si>
    <t>Heat-Transfer Calculations</t>
  </si>
  <si>
    <t>Transport phenomena | Mechanical thermodynamics | Heat transfer</t>
  </si>
  <si>
    <t>https://www.accessengineeringlibrary.com/content/book/9780071410410</t>
  </si>
  <si>
    <t>Time Management</t>
  </si>
  <si>
    <t>Marc Mancini, Ph.D.</t>
  </si>
  <si>
    <t>Time management</t>
  </si>
  <si>
    <t>https://www.accessengineeringlibrary.com/content/book/9780071406109</t>
  </si>
  <si>
    <t>Torsional Vibration of Turbo-Machinery</t>
  </si>
  <si>
    <t>Duncan N. Walker</t>
  </si>
  <si>
    <t>Solid mechanics | Finite element analysis | Circuit analysis</t>
  </si>
  <si>
    <t>https://www.accessengineeringlibrary.com/content/book/9780071430371</t>
  </si>
  <si>
    <t>Water Supply Systems Security</t>
  </si>
  <si>
    <t>Water resources engineering | Sustainability | Natural resources management</t>
  </si>
  <si>
    <t>https://www.accessengineeringlibrary.com/content/book/9780071425315</t>
  </si>
  <si>
    <t>Electrical Engineerâ€™s Portable Handbook, Second Edition</t>
  </si>
  <si>
    <t>Robert Hickey</t>
  </si>
  <si>
    <t>Electrical engineering</t>
  </si>
  <si>
    <t>https://www.accessengineeringlibrary.com/content/book/9780071418201</t>
  </si>
  <si>
    <t>Standard Handbook of Machine Design, Third Edition</t>
  </si>
  <si>
    <t>Joseph E. Shigley</t>
  </si>
  <si>
    <t>Machine design | Solid mechanics | Structural engineering</t>
  </si>
  <si>
    <t>https://www.accessengineeringlibrary.com/content/book/9780071441643</t>
  </si>
  <si>
    <t>Perry's Chemical Engineers' Handbook, Eighth Edition</t>
  </si>
  <si>
    <t>Don W. Green</t>
  </si>
  <si>
    <t>https://www.accessengineeringlibrary.com/content/book/9780071422949</t>
  </si>
  <si>
    <t>Manager's Guide to Performance Reviews</t>
  </si>
  <si>
    <t>Robert Bacal</t>
  </si>
  <si>
    <t>https://www.accessengineeringlibrary.com/content/book/9780071421737</t>
  </si>
  <si>
    <t>Microchip Fabrication: A Practical Guide to Semiconductor Processing, Fifth Edition</t>
  </si>
  <si>
    <t>Peter Van Zant</t>
  </si>
  <si>
    <t>https://www.accessengineeringlibrary.com/content/book/9780071432412</t>
  </si>
  <si>
    <t>Structural Steel Designer's Handbook: AISC, AASHTO, AISI, ASTM, AREMA, and ASCE-07 Design Standards, Fourth Edition</t>
  </si>
  <si>
    <t>Roger L. Brockenbrough</t>
  </si>
  <si>
    <t>2006, 1999, 1994, 1972</t>
  </si>
  <si>
    <t>https://www.accessengineeringlibrary.com/content/book/9780071432184</t>
  </si>
  <si>
    <t>McGraw-Hill 36-Hour Course: Six Sigma</t>
  </si>
  <si>
    <t>Greg Brue</t>
  </si>
  <si>
    <t>Quality engineering | Quality management | Process engineering</t>
  </si>
  <si>
    <t>https://www.accessengineeringlibrary.com/content/book/9780071430081</t>
  </si>
  <si>
    <t>Trenchless Technology: Pipeline and Utility Design, Construction, and Renewal</t>
  </si>
  <si>
    <t>Mohammad Najafi, Ph.D., P.E.</t>
  </si>
  <si>
    <t>Infrastructure | Construction engineering | Pressure vessels and piping</t>
  </si>
  <si>
    <t>https://www.accessengineeringlibrary.com/content/book/9780071422666</t>
  </si>
  <si>
    <t>Standard Handbook of Video and Television Engineering, Fourth Edition</t>
  </si>
  <si>
    <t>Jerry C. Whitaker</t>
  </si>
  <si>
    <t>Signal processing | Electronics engineering | Optical engineering</t>
  </si>
  <si>
    <t>https://www.accessengineeringlibrary.com/content/book/9780071411806</t>
  </si>
  <si>
    <t>Handbook of Industrial Chemistry: Organic Chemicals</t>
  </si>
  <si>
    <t>Mohammad Farhat Ali, Ph.D.</t>
  </si>
  <si>
    <t>Chemistry | Chemical process safety</t>
  </si>
  <si>
    <t>https://www.accessengineeringlibrary.com/content/book/9780071410373</t>
  </si>
  <si>
    <t>Marksâ€™ Standard Handbook for Mechanical Engineers, Eleventh Edition</t>
  </si>
  <si>
    <t>Eugene A. Avallone</t>
  </si>
  <si>
    <t>https://www.accessengineeringlibrary.com/content/book/9780071428675</t>
  </si>
  <si>
    <t>Lange's Handbook of Chemistry, Sixteenth Edition</t>
  </si>
  <si>
    <t>James Speight, Ph.D.</t>
  </si>
  <si>
    <t>https://www.accessengineeringlibrary.com/content/book/9780071432207</t>
  </si>
  <si>
    <t>Complete Digital Design: A Comprehensive Guide to Digital Electronics and Computer System Architecture</t>
  </si>
  <si>
    <t>Mark Balch</t>
  </si>
  <si>
    <t>https://www.accessengineeringlibrary.com/content/book/9780071409278</t>
  </si>
  <si>
    <t>Piping Calculations Manual</t>
  </si>
  <si>
    <t>E. Shashi Menon, P.E.</t>
  </si>
  <si>
    <t>Infrastructure | Pressure vessels and piping | Fluid mechanics</t>
  </si>
  <si>
    <t>https://www.accessengineeringlibrary.com/content/book/9780071440905</t>
  </si>
  <si>
    <t>Multivariate Statistical Methods in Quality Management</t>
  </si>
  <si>
    <t>Kai Yang</t>
  </si>
  <si>
    <t>Statistics | Quality management | Quality engineering</t>
  </si>
  <si>
    <t>https://www.accessengineeringlibrary.com/content/book/9780071432085</t>
  </si>
  <si>
    <t>Toyota Way: 14 Management Principles from the World's Greatest Manufacturer</t>
  </si>
  <si>
    <t>Dr. Jeffrey K. Liker</t>
  </si>
  <si>
    <t>Quality engineering | Process engineering | Quality management</t>
  </si>
  <si>
    <t>https://www.accessengineeringlibrary.com/content/book/9780071392310</t>
  </si>
  <si>
    <t>Pressure Vessels: The ASME Code Simplified, Eighth Edition</t>
  </si>
  <si>
    <t>J. Phillip Ellenberger</t>
  </si>
  <si>
    <t>Quality engineering | Pressure vessels and piping | Chemical processing equipment</t>
  </si>
  <si>
    <t>https://www.accessengineeringlibrary.com/content/book/9780071436731</t>
  </si>
  <si>
    <t>Electronic Materials and Processes Handbook, Third Edition</t>
  </si>
  <si>
    <t>Materials applications | Electronics engineering | Materials</t>
  </si>
  <si>
    <t>https://www.accessengineeringlibrary.com/content/book/9780071402149</t>
  </si>
  <si>
    <t>Optical Communications Essentials</t>
  </si>
  <si>
    <t>Gerd Keiser</t>
  </si>
  <si>
    <t>Optical engineering | Signal processing | Electronics engineering</t>
  </si>
  <si>
    <t>https://www.accessengineeringlibrary.com/content/book/9780071412049</t>
  </si>
  <si>
    <t>Six Sigma for Electronics Design and Manufacturing</t>
  </si>
  <si>
    <t>Sammy G. Shina</t>
  </si>
  <si>
    <t>https://www.accessengineeringlibrary.com/content/book/9780071395113</t>
  </si>
  <si>
    <t>Electrical Equipment Handbook: Troubleshooting and Maintenance</t>
  </si>
  <si>
    <t>Philip Kiameh</t>
  </si>
  <si>
    <t>https://www.accessengineeringlibrary.com/content/book/9780071396035</t>
  </si>
  <si>
    <t>Wireless and Cellular Communications, Third Edition</t>
  </si>
  <si>
    <t>Communications engineering</t>
  </si>
  <si>
    <t>https://www.accessengineeringlibrary.com/content/book/9780071436861</t>
  </si>
  <si>
    <t>Uninterruptible Power Supplies</t>
  </si>
  <si>
    <t>Alexander King</t>
  </si>
  <si>
    <t>Power engineering | Electronics engineering | Solid mechanics</t>
  </si>
  <si>
    <t>https://www.accessengineeringlibrary.com/content/book/9780071395953</t>
  </si>
  <si>
    <t>Handbook of Petrochemicals Production Processes</t>
  </si>
  <si>
    <t>https://www.accessengineeringlibrary.com/content/book/9780071410427</t>
  </si>
  <si>
    <t>Deanâ€™s Analytical Chemistry Handbook, Second Edition</t>
  </si>
  <si>
    <t>Pradyot Patnaik</t>
  </si>
  <si>
    <t>Chemistry</t>
  </si>
  <si>
    <t>https://www.accessengineeringlibrary.com/content/book/9780071410601</t>
  </si>
  <si>
    <t>Metal Building Systems: Design and Specifications, Second Edition</t>
  </si>
  <si>
    <t>Alexander Newman</t>
  </si>
  <si>
    <t>https://www.accessengineeringlibrary.com/content/book/9780071402019</t>
  </si>
  <si>
    <t>Budgeting for Managers</t>
  </si>
  <si>
    <t>Sid Kemp</t>
  </si>
  <si>
    <t>Engineering economics | Accounting | Operations management</t>
  </si>
  <si>
    <t>https://www.accessengineeringlibrary.com/content/book/9780071391337</t>
  </si>
  <si>
    <t>Finance for Non-Financial Managers</t>
  </si>
  <si>
    <t>Gene Siciliano, C.M.C., C.P.A.</t>
  </si>
  <si>
    <t>Engineering economics | Accounting | Finance</t>
  </si>
  <si>
    <t>https://www.accessengineeringlibrary.com/content/book/9780071413770</t>
  </si>
  <si>
    <t>Moving the Earth: The Workbook of Excavation, Fifth Edition</t>
  </si>
  <si>
    <t>Herbert L. Nichols, Jr</t>
  </si>
  <si>
    <t>https://www.accessengineeringlibrary.com/content/book/9780071430586</t>
  </si>
  <si>
    <t>Photodetection and Measurement: Maximizing Performance in Optical Systems</t>
  </si>
  <si>
    <t>Mark Johnson</t>
  </si>
  <si>
    <t>Electronics engineering | Signal processing | Optical engineering</t>
  </si>
  <si>
    <t>https://www.accessengineeringlibrary.com/content/book/9780071409445</t>
  </si>
  <si>
    <t>Engineering Plastics Handbook</t>
  </si>
  <si>
    <t>James M. Margolis</t>
  </si>
  <si>
    <t>Materials applications | Chemical processes | Materials</t>
  </si>
  <si>
    <t>https://www.accessengineeringlibrary.com/content/book/9780071457675</t>
  </si>
  <si>
    <t>Handbook of Plastics Technologies: The Complete Guide to Properties and Performance</t>
  </si>
  <si>
    <t>https://www.accessengineeringlibrary.com/content/book/9780071460682</t>
  </si>
  <si>
    <t>Satellite Communications, Fourth Edition</t>
  </si>
  <si>
    <t>Dennis Roddy</t>
  </si>
  <si>
    <t>https://www.accessengineeringlibrary.com/content/book/9780071462983</t>
  </si>
  <si>
    <t>Design for Six Sigma for Service</t>
  </si>
  <si>
    <t>https://www.accessengineeringlibrary.com/content/book/9780071445559</t>
  </si>
  <si>
    <t>Ethernet in the First Mile: The IEEE 802.3ah EFM Standard</t>
  </si>
  <si>
    <t>Michael Beck</t>
  </si>
  <si>
    <t>https://www.accessengineeringlibrary.com/content/book/9780071455060</t>
  </si>
  <si>
    <t>Membrane Systems for Wastewater Treatment</t>
  </si>
  <si>
    <t>Water Environment Federation</t>
  </si>
  <si>
    <t>Waste engineering | Wastewater engineering | Water treatment</t>
  </si>
  <si>
    <t>https://www.accessengineeringlibrary.com/content/book/9780071464192</t>
  </si>
  <si>
    <t>Schaumâ€™s Outline of Biochemistry, Third Edition</t>
  </si>
  <si>
    <t>Philip W. Kuchel, Ph.D</t>
  </si>
  <si>
    <t>Biology</t>
  </si>
  <si>
    <t>https://www.accessengineeringlibrary.com/content/book/9780071472272</t>
  </si>
  <si>
    <t>Microprocessor Design: A Practical Guide from Design Planning to Manufacturing</t>
  </si>
  <si>
    <t>Grant McFarland</t>
  </si>
  <si>
    <t>https://www.accessengineeringlibrary.com/content/book/9780071459518</t>
  </si>
  <si>
    <t>What is Six Sigma Process Management?</t>
  </si>
  <si>
    <t>Rowland Hayler</t>
  </si>
  <si>
    <t>Process engineering | Quality engineering | Quality management</t>
  </si>
  <si>
    <t>https://www.accessengineeringlibrary.com/content/book/9780071453417</t>
  </si>
  <si>
    <t>Mechanical Design of Microresonators: Modeling and Applications</t>
  </si>
  <si>
    <t>Nicholae O. Lobontiu</t>
  </si>
  <si>
    <t>Signal processing | Solid mechanics | Control engineering</t>
  </si>
  <si>
    <t>https://www.accessengineeringlibrary.com/content/book/9780071455381</t>
  </si>
  <si>
    <t>HVAC Pump Handbook, Second Edition</t>
  </si>
  <si>
    <t>James B. Rishel</t>
  </si>
  <si>
    <t>Transport phenomena | Fluid mechanics | Power engineering</t>
  </si>
  <si>
    <t>https://www.accessengineeringlibrary.com/content/book/9780071457842</t>
  </si>
  <si>
    <t>Handbook of Civil Engineering Calculations, Second Edition</t>
  </si>
  <si>
    <t>Tyler G. Hicks</t>
  </si>
  <si>
    <t>https://www.accessengineeringlibrary.com/content/book/9780071472937</t>
  </si>
  <si>
    <t>Global Project Management Handbook: Planning, Organizing, and Controlling International Projects, Second Edition</t>
  </si>
  <si>
    <t>David I. Cleland</t>
  </si>
  <si>
    <t>Project management | Operations management</t>
  </si>
  <si>
    <t>https://www.accessengineeringlibrary.com/content/book/9780071460453</t>
  </si>
  <si>
    <t>Power Quality in Electrical Systems</t>
  </si>
  <si>
    <t>Alexander Kusko</t>
  </si>
  <si>
    <t>https://www.accessengineeringlibrary.com/content/book/9780071470759</t>
  </si>
  <si>
    <t>Supply Management Handbook, 7th Ed</t>
  </si>
  <si>
    <t>Joseph L. Cavinato, Ph.D., C.P.M.</t>
  </si>
  <si>
    <t>https://www.accessengineeringlibrary.com/content/book/9780071445139</t>
  </si>
  <si>
    <t>System on Package: Miniaturization of the Entire System</t>
  </si>
  <si>
    <t>Electronics engineering | Materials applications | Communications engineering</t>
  </si>
  <si>
    <t>https://www.accessengineeringlibrary.com/content/book/9780071459068</t>
  </si>
  <si>
    <t>Toyota Way Fieldbook</t>
  </si>
  <si>
    <t>Jeffrey K. Liker</t>
  </si>
  <si>
    <t>Quality engineering | Production engineering | Quality management</t>
  </si>
  <si>
    <t>https://www.accessengineeringlibrary.com/content/book/9780071448932</t>
  </si>
  <si>
    <t>Water Reuse: Issues, Technologies, and Applications</t>
  </si>
  <si>
    <t>Metcalf &amp; Eddy, Inc. an AECOM Company</t>
  </si>
  <si>
    <t>Water resources engineering | Waste engineering | Sustainability</t>
  </si>
  <si>
    <t>https://www.accessengineeringlibrary.com/content/book/9780071459273</t>
  </si>
  <si>
    <t>Modeling of Asphalt Concrete</t>
  </si>
  <si>
    <t>Y. Richard Kim</t>
  </si>
  <si>
    <t>Materials | Materials applications | Structural engineering</t>
  </si>
  <si>
    <t>https://www.accessengineeringlibrary.com/content/book/9780071464628</t>
  </si>
  <si>
    <t>Semiconductor Manufacturing Handbook</t>
  </si>
  <si>
    <t>https://www.accessengineeringlibrary.com/content/book/9780071445597</t>
  </si>
  <si>
    <t>Planning and Design of Airports, Fifth Edition</t>
  </si>
  <si>
    <t>Robert Horonjeff</t>
  </si>
  <si>
    <t>Infrastructure | Transportation engineering</t>
  </si>
  <si>
    <t>https://www.accessengineeringlibrary.com/content/book/9780071446419</t>
  </si>
  <si>
    <t>Sustainable Energy Systems in Architectural Design: A Blueprint for Green Building</t>
  </si>
  <si>
    <t>Peter Gevorkian, Ph.D., PE</t>
  </si>
  <si>
    <t>Power engineering | Sustainability | Renewable energy</t>
  </si>
  <si>
    <t>https://www.accessengineeringlibrary.com/content/book/9780071469821</t>
  </si>
  <si>
    <t>McGraw-Hill Machining and Metalworking Handbook, Third Edition</t>
  </si>
  <si>
    <t>https://www.accessengineeringlibrary.com/content/book/9780071457873</t>
  </si>
  <si>
    <t>Applied Cell and Molecular Biology for Engineers</t>
  </si>
  <si>
    <t>Gabi Nindle Waite</t>
  </si>
  <si>
    <t>https://www.accessengineeringlibrary.com/content/book/9780071472425</t>
  </si>
  <si>
    <t>Electronic Filter Design Handbook, Fourth Edition</t>
  </si>
  <si>
    <t>Arthur B. Williams</t>
  </si>
  <si>
    <t>https://www.accessengineeringlibrary.com/content/book/9780071471718</t>
  </si>
  <si>
    <t>Population Balances in Biomedical Engineering: Segregation through the Distribution of Cell States</t>
  </si>
  <si>
    <t>Martin A. HjortsĂ¸</t>
  </si>
  <si>
    <t>https://www.accessengineeringlibrary.com/content/book/9780071447683</t>
  </si>
  <si>
    <t>Applied Biofluid Mechanics</t>
  </si>
  <si>
    <t>Lee Waite</t>
  </si>
  <si>
    <t>https://www.accessengineeringlibrary.com/content/book/9780071472173</t>
  </si>
  <si>
    <t>Design of Wood Structures-ASD/LRFD, Sixth Edition</t>
  </si>
  <si>
    <t>Donald E. Breyer</t>
  </si>
  <si>
    <t>https://www.accessengineeringlibrary.com/content/book/9780071455398</t>
  </si>
  <si>
    <t>Water Resources Sustainability</t>
  </si>
  <si>
    <t>Larry W. Mays, Ph.D., P.E., P.H.</t>
  </si>
  <si>
    <t>https://www.accessengineeringlibrary.com/content/book/9780071462303</t>
  </si>
  <si>
    <t>Handbook of Die Design, Second Edition</t>
  </si>
  <si>
    <t>Ivana Suchy</t>
  </si>
  <si>
    <t>Materials applications | Production engineering | Materials</t>
  </si>
  <si>
    <t>https://www.accessengineeringlibrary.com/content/book/9780071462716</t>
  </si>
  <si>
    <t>Optical System Design, Second Edition</t>
  </si>
  <si>
    <t>Robert Fischer</t>
  </si>
  <si>
    <t>https://www.accessengineeringlibrary.com/content/book/9780071472487</t>
  </si>
  <si>
    <t>Horizontal Directional Drilling: Utility and Pipeline Applications</t>
  </si>
  <si>
    <t>David Willoughby</t>
  </si>
  <si>
    <t>Construction engineering | Infrastructure | Pressure vessels and piping</t>
  </si>
  <si>
    <t>https://www.accessengineeringlibrary.com/content/book/9780071454735</t>
  </si>
  <si>
    <t>Water Quality Control Handbook, Second Edition</t>
  </si>
  <si>
    <t>E. Roberts Alley</t>
  </si>
  <si>
    <t>Waste engineering | Wastewater engineering | Pollution</t>
  </si>
  <si>
    <t>https://www.accessengineeringlibrary.com/content/book/9780071467605</t>
  </si>
  <si>
    <t>Say It with Presentations, Second Edition, Revised &amp; Expanded: How to Design and Deliver Successful Business Presentations</t>
  </si>
  <si>
    <t xml:space="preserve">Gene </t>
  </si>
  <si>
    <t>Standard Handbook of Broadcast Engineering</t>
  </si>
  <si>
    <t>https://www.accessengineeringlibrary.com/content/book/9780071451000</t>
  </si>
  <si>
    <t>Project Management: Strategic Design and Implementation, Fifth Edition</t>
  </si>
  <si>
    <t>Operations management | Project management</t>
  </si>
  <si>
    <t>https://www.accessengineeringlibrary.com/content/book/9780071471602</t>
  </si>
  <si>
    <t>Sustainable Energy Systems Engineering: The Complete Green Building Design Resource</t>
  </si>
  <si>
    <t>https://www.accessengineeringlibrary.com/content/book/9780071473590</t>
  </si>
  <si>
    <t>Pump Handbook, Fourth Edition</t>
  </si>
  <si>
    <t>Igor J. Karassik</t>
  </si>
  <si>
    <t>Fluid mechanics | Transport phenomena | Power engineering</t>
  </si>
  <si>
    <t>https://www.accessengineeringlibrary.com/content/book/9780071460446</t>
  </si>
  <si>
    <t>Six Sigma Leader: How Top Executives Will Prevail in the 21st Century</t>
  </si>
  <si>
    <t>Peter S. Pande</t>
  </si>
  <si>
    <t>Leadership | Quality management | Quality engineering</t>
  </si>
  <si>
    <t>https://www.accessengineeringlibrary.com/content/book/9780071454087</t>
  </si>
  <si>
    <t>Six Sigma Black Belt Handbook (Six SIGMA Operational Methods)</t>
  </si>
  <si>
    <t>Thomas McCarty</t>
  </si>
  <si>
    <t>https://www.accessengineeringlibrary.com/content/book/9780071443296</t>
  </si>
  <si>
    <t>Polymer Nanocomposites: Processing, Characterization, and Applications</t>
  </si>
  <si>
    <t>Joseph H. Koo</t>
  </si>
  <si>
    <t>https://www.accessengineeringlibrary.com/content/book/9780071458214</t>
  </si>
  <si>
    <t>Handbook of Mechanical Engineering Calculations, Second Edition</t>
  </si>
  <si>
    <t>Mechanical engineering</t>
  </si>
  <si>
    <t>https://www.accessengineeringlibrary.com/content/book/9780071458863</t>
  </si>
  <si>
    <t>Intersubband Transitions In Quantum Structures</t>
  </si>
  <si>
    <t>Roberto Paiella</t>
  </si>
  <si>
    <t>Optical engineering | Quality engineering</t>
  </si>
  <si>
    <t>https://www.accessengineeringlibrary.com/content/book/9780071457927</t>
  </si>
  <si>
    <t>Signaling System #7, Fifth Edition</t>
  </si>
  <si>
    <t>Travis Russell</t>
  </si>
  <si>
    <t>https://www.accessengineeringlibrary.com/content/book/9780071468794</t>
  </si>
  <si>
    <t>Project Management in Construction, Fifth Edition</t>
  </si>
  <si>
    <t>Sidney Levy</t>
  </si>
  <si>
    <t>https://www.accessengineeringlibrary.com/content/book/9780071464178</t>
  </si>
  <si>
    <t>Microfluid Mechanics: Principles and Modeling</t>
  </si>
  <si>
    <t>William W. Liou</t>
  </si>
  <si>
    <t>https://www.accessengineeringlibrary.com/content/book/9780071443227</t>
  </si>
  <si>
    <t>Mechanical Design Handbook, Measurement, Analysis, and Control of Dynamic Systems</t>
  </si>
  <si>
    <t>Harold Rothbart</t>
  </si>
  <si>
    <t>Machine design | Solid mechanics | Materials applications</t>
  </si>
  <si>
    <t>https://www.accessengineeringlibrary.com/content/book/9780071466363</t>
  </si>
  <si>
    <t>Printed Circuits Handbook, Sixth Edition</t>
  </si>
  <si>
    <t>https://www.accessengineeringlibrary.com/content/book/9780071467346</t>
  </si>
  <si>
    <t>Engineering Guide to LEED - New Construction: Sustainable Construction for Engineers</t>
  </si>
  <si>
    <t>Liv Haselbach</t>
  </si>
  <si>
    <t>Sustainability | Water resources engineering | Construction engineering</t>
  </si>
  <si>
    <t>https://www.accessengineeringlibrary.com/content/book/9780071489935</t>
  </si>
  <si>
    <t>Construction Waterproofing Handbook, Second Edition</t>
  </si>
  <si>
    <t>Michael T. Kubal</t>
  </si>
  <si>
    <t>Construction engineering | Materials applications | Materials</t>
  </si>
  <si>
    <t>https://www.accessengineeringlibrary.com/content/book/9780071489737</t>
  </si>
  <si>
    <t>Fundamentals of Communications Systems</t>
  </si>
  <si>
    <t>Michael P. Fitz</t>
  </si>
  <si>
    <t>Signal processing</t>
  </si>
  <si>
    <t>https://www.accessengineeringlibrary.com/content/book/9780071482806</t>
  </si>
  <si>
    <t>Wire Bonding in Microelectronics, Third Edition</t>
  </si>
  <si>
    <t>George Harman</t>
  </si>
  <si>
    <t>https://www.accessengineeringlibrary.com/content/book/9780071476232</t>
  </si>
  <si>
    <t>Biomedical Engineering and Design Handbook, Volume 1</t>
  </si>
  <si>
    <t>Biology | Biomedical engineering | Materials</t>
  </si>
  <si>
    <t>https://www.accessengineeringlibrary.com/content/book/9780071498388</t>
  </si>
  <si>
    <t>Design of Reinforced Masonry Structures, Second Edition</t>
  </si>
  <si>
    <t>Narendra Taly, Ph.D., P.E., F.ASCE</t>
  </si>
  <si>
    <t>Structural engineering | Construction engineering | Solid mechanics</t>
  </si>
  <si>
    <t>https://www.accessengineeringlibrary.com/content/book/9780071475556</t>
  </si>
  <si>
    <t>Six Sigma Way: How to Maximize the Impact of Your Change and Improvement Efforts, Second Edition</t>
  </si>
  <si>
    <t>https://www.accessengineeringlibrary.com/content/book/9780071497329</t>
  </si>
  <si>
    <t>Biofuels Refining and Performance</t>
  </si>
  <si>
    <t>Ahindra Nag, Ph.D.</t>
  </si>
  <si>
    <t>Fuels | Power engineering | Chemical processes</t>
  </si>
  <si>
    <t>https://www.accessengineeringlibrary.com/content/book/9780071489706</t>
  </si>
  <si>
    <t>Solar Power in Building Design: The Engineerâ€™s Complete Design Resource</t>
  </si>
  <si>
    <t>Peter Gevorkian</t>
  </si>
  <si>
    <t>https://www.accessengineeringlibrary.com/content/book/9780071485630</t>
  </si>
  <si>
    <t>Modern Optical Engineering: The Design of Optical Systems, Fourth Edition</t>
  </si>
  <si>
    <t>https://www.accessengineeringlibrary.com/content/book/9780071476874</t>
  </si>
  <si>
    <t>Phase-Locked Loops: Design, Simulation, and Applications, Sixth Edition</t>
  </si>
  <si>
    <t>Roland E. Best</t>
  </si>
  <si>
    <t>https://www.accessengineeringlibrary.com/content/book/9780071493758</t>
  </si>
  <si>
    <t>Biomedical Engineering and Design Handbook, Volume 2</t>
  </si>
  <si>
    <t>Biomedical engineering | Optical engineering</t>
  </si>
  <si>
    <t>https://www.accessengineeringlibrary.com/content/book/9780071498395</t>
  </si>
  <si>
    <t>Buried Pipe Design, Third Edition</t>
  </si>
  <si>
    <t>A. P. Moser</t>
  </si>
  <si>
    <t>https://www.accessengineeringlibrary.com/content/book/9780071476898</t>
  </si>
  <si>
    <t>Environmental Nanotechnology: Applications and Impacts of Nanomaterials</t>
  </si>
  <si>
    <t>Mark R. Wiesner</t>
  </si>
  <si>
    <t>https://www.accessengineeringlibrary.com/content/book/9780071477505</t>
  </si>
  <si>
    <t>Handbook of Adhesives and Sealants, Second Edition</t>
  </si>
  <si>
    <t>Edward M. Petrie</t>
  </si>
  <si>
    <t>https://www.accessengineeringlibrary.com/content/book/9780071479165</t>
  </si>
  <si>
    <t>Forensic Structural Engineering Handbook, Second Edition</t>
  </si>
  <si>
    <t>Robert T. Ratay</t>
  </si>
  <si>
    <t>https://www.accessengineeringlibrary.com/content/book/9780071498845</t>
  </si>
  <si>
    <t>Antenna Engineering Handbook, Fourth Edition</t>
  </si>
  <si>
    <t>John L. Volakis</t>
  </si>
  <si>
    <t>https://www.accessengineeringlibrary.com/content/book/9780071475747</t>
  </si>
  <si>
    <t>Mechanics of Asphalt: Microstructure and Micromechanics</t>
  </si>
  <si>
    <t>Linbing Wang</t>
  </si>
  <si>
    <t>Materials | Materials applications</t>
  </si>
  <si>
    <t>https://www.accessengineeringlibrary.com/content/book/9780071498548</t>
  </si>
  <si>
    <t>Water Well Rehabilitation and Reconstruction</t>
  </si>
  <si>
    <t>Georg Houben</t>
  </si>
  <si>
    <t>Water resources engineering</t>
  </si>
  <si>
    <t>https://www.accessengineeringlibrary.com/content/book/9780071486514</t>
  </si>
  <si>
    <t>Handbook of Optics: Volume IV - Optical Properties of Materials, Nonlinear Optics, Quantum Optics, Third Edition</t>
  </si>
  <si>
    <t>Michael Bass</t>
  </si>
  <si>
    <t>Optical engineering | Material properties | Electronics engineering</t>
  </si>
  <si>
    <t>https://www.accessengineeringlibrary.com/content/book/9780071498920</t>
  </si>
  <si>
    <t>Handbook of Environmental Engineering Calculations, Second Edition</t>
  </si>
  <si>
    <t>C. C. Lee</t>
  </si>
  <si>
    <t>https://www.accessengineeringlibrary.com/content/book/9780071475839</t>
  </si>
  <si>
    <t>Corrosion Engineering</t>
  </si>
  <si>
    <t>Pierre R. Roberge</t>
  </si>
  <si>
    <t>Materials applications | Material properties</t>
  </si>
  <si>
    <t>https://www.accessengineeringlibrary.com/content/book/9780071482431</t>
  </si>
  <si>
    <t>Groundwater Resources: Sustainability, Management, and Restoration</t>
  </si>
  <si>
    <t>Neven Kresic</t>
  </si>
  <si>
    <t>Water resources engineering | Sustainability</t>
  </si>
  <si>
    <t>https://www.accessengineeringlibrary.com/content/book/9780071492737</t>
  </si>
  <si>
    <t>Electromechanical Devices &amp; Components Illustrated Sourcebook</t>
  </si>
  <si>
    <t>Brian S. Elliott</t>
  </si>
  <si>
    <t>Electronics engineering | Power engineering</t>
  </si>
  <si>
    <t>https://www.accessengineeringlibrary.com/content/book/9780071477529</t>
  </si>
  <si>
    <t>Switching Power Supply Design, Third Edition</t>
  </si>
  <si>
    <t>Abraham Pressman</t>
  </si>
  <si>
    <t>Electronics engineering</t>
  </si>
  <si>
    <t>https://www.accessengineeringlibrary.com/content/book/9780071482721</t>
  </si>
  <si>
    <t>Radar Handbook, Third Edition</t>
  </si>
  <si>
    <t>Merrill I. Skolnik</t>
  </si>
  <si>
    <t>https://www.accessengineeringlibrary.com/content/book/9780071485470</t>
  </si>
  <si>
    <t>Building Information Modeling: Planning and Managing Construction Projects with 4D CAD and Simulations (McGraw-Hill Construction Series)</t>
  </si>
  <si>
    <t>Willem Kymmell</t>
  </si>
  <si>
    <t>Construction engineering | Project management | Operations management</t>
  </si>
  <si>
    <t>https://www.accessengineeringlibrary.com/content/book/9780071494533</t>
  </si>
  <si>
    <t>Trenchless Technology Piping: Installation and Inspection</t>
  </si>
  <si>
    <t>Mohammad Najafi</t>
  </si>
  <si>
    <t>https://www.accessengineeringlibrary.com/content/book/9780071489287</t>
  </si>
  <si>
    <t>Schaum's Outline of Fluid Mechanics</t>
  </si>
  <si>
    <t>Merle C. Potter</t>
  </si>
  <si>
    <t>https://www.accessengineeringlibrary.com/content/book/9780071487818</t>
  </si>
  <si>
    <t>Heating Boiler Operator's Manual: Maintenance, Operation, and Repair</t>
  </si>
  <si>
    <t>Mohammad A. Malek, Ph.D., P.E.</t>
  </si>
  <si>
    <t>Mechanical thermodynamics | Pressure vessels and piping | Power engineering</t>
  </si>
  <si>
    <t>https://www.accessengineeringlibrary.com/content/book/9780071475228</t>
  </si>
  <si>
    <t>Automation of Wastewater Treatment Facilities - WEF MoP 21, Third Edition</t>
  </si>
  <si>
    <t>The Water Environment Federation</t>
  </si>
  <si>
    <t>https://www.accessengineeringlibrary.com/content/book/9780071479370</t>
  </si>
  <si>
    <t>Handbook of Switchgears</t>
  </si>
  <si>
    <t>Bharat Heavy Electricals Limited</t>
  </si>
  <si>
    <t>Power engineering | Electronics engineering | Circuit design</t>
  </si>
  <si>
    <t>https://www.accessengineeringlibrary.com/content/book/9780071476966</t>
  </si>
  <si>
    <t>Green Electronics Design and Manufacturing: Implementing Lead-Free and RoHS-Compliant Global Products</t>
  </si>
  <si>
    <t>Production engineering | Materials applications | Sustainability</t>
  </si>
  <si>
    <t>https://www.accessengineeringlibrary.com/content/book/9780071495943</t>
  </si>
  <si>
    <t>Synthetic Fuels Handbook: Properties, Process, and Performance</t>
  </si>
  <si>
    <t>Fuels | Petroleum engineering</t>
  </si>
  <si>
    <t>https://www.accessengineeringlibrary.com/content/book/9780071490238</t>
  </si>
  <si>
    <t>Handbook of Optics: Volume III - Vision and Vision Optics, Third Edition</t>
  </si>
  <si>
    <t>https://www.accessengineeringlibrary.com/content/book/9780071498913</t>
  </si>
  <si>
    <t>Hydrogeology Field Manual, Second Edition</t>
  </si>
  <si>
    <t>Willis Weight</t>
  </si>
  <si>
    <t>https://www.accessengineeringlibrary.com/content/book/9780071477499</t>
  </si>
  <si>
    <t>Biofuels Engineering Process Technology</t>
  </si>
  <si>
    <t>Caye M. Drapcho</t>
  </si>
  <si>
    <t>Fuels | Chemical processes | Power engineering</t>
  </si>
  <si>
    <t>https://www.accessengineeringlibrary.com/content/book/9780071487498</t>
  </si>
  <si>
    <t>Folded Unipole Antennas: Theory and Applications</t>
  </si>
  <si>
    <t>Jeremy K. Raines</t>
  </si>
  <si>
    <t>Communications engineering | Electronics engineering</t>
  </si>
  <si>
    <t>https://www.accessengineeringlibrary.com/content/book/9780071474856</t>
  </si>
  <si>
    <t>Estimating Software Costs: Bringing Realism to Estimating, Second Edition</t>
  </si>
  <si>
    <t>Capers Jones</t>
  </si>
  <si>
    <t>https://www.accessengineeringlibrary.com/content/book/9780071483001</t>
  </si>
  <si>
    <t>Supportability Engineering Handbook</t>
  </si>
  <si>
    <t>James V. Jones</t>
  </si>
  <si>
    <t>Maintenance engineering | Systems engineering | Quality engineering</t>
  </si>
  <si>
    <t>https://www.accessengineeringlibrary.com/content/book/9780071475730</t>
  </si>
  <si>
    <t>Herb Schildtâ€™s C++ Programming Cookbook</t>
  </si>
  <si>
    <t>Herb Schildt</t>
  </si>
  <si>
    <t>https://www.accessengineeringlibrary.com/content/book/9780071488600</t>
  </si>
  <si>
    <t>Handbook of Optics: Volume I - Geometrical and Physical Optics, Polarized Light, Components and Instruments, Third Edition</t>
  </si>
  <si>
    <t>https://www.accessengineeringlibrary.com/content/book/9780071498890</t>
  </si>
  <si>
    <t>ASIC Design in the Silicon Sandbox: A Complete Guide to Building Mixed-Signal Integrated Circuits</t>
  </si>
  <si>
    <t>Keith Barr</t>
  </si>
  <si>
    <t>https://www.accessengineeringlibrary.com/content/book/9780071481618</t>
  </si>
  <si>
    <t>Handbook of Optics: Volume II - Design, Fabrication, and Testing Sources and Detectors  Radiometry and Photometry, Third Edition</t>
  </si>
  <si>
    <t>https://www.accessengineeringlibrary.com/content/book/9780071498906</t>
  </si>
  <si>
    <t>Land Development Handbook: Planning, Engineering, and Surveying, Third Edition</t>
  </si>
  <si>
    <t>Sidney O. Dewberry</t>
  </si>
  <si>
    <t>https://www.accessengineeringlibrary.com/content/book/9780071494373</t>
  </si>
  <si>
    <t>HVAC: Equations, Data, and Rules of Thumb, Second Edition</t>
  </si>
  <si>
    <t>Arthur A. Bell Jr</t>
  </si>
  <si>
    <t>https://www.accessengineeringlibrary.com/content/book/9780071482424</t>
  </si>
  <si>
    <t>Modular Design for Machine Tools</t>
  </si>
  <si>
    <t>Yoshimi Ito</t>
  </si>
  <si>
    <t>Materials applications | Power engineering | Production engineering</t>
  </si>
  <si>
    <t>https://www.accessengineeringlibrary.com/content/book/9780071496605</t>
  </si>
  <si>
    <t>Working Guide to Process Equipment, Third Edition</t>
  </si>
  <si>
    <t>Norman Lieberman</t>
  </si>
  <si>
    <t>https://www.accessengineeringlibrary.com/content/book/9780071496742</t>
  </si>
  <si>
    <t>Geotechnical Engineering: Soil and Foundation Principles and Practice, Fifth Edition</t>
  </si>
  <si>
    <t>R. L. Handy</t>
  </si>
  <si>
    <t>Geological engineering | Structural engineering | Geotechnical engineering</t>
  </si>
  <si>
    <t>https://www.accessengineeringlibrary.com/content/book/9780071481205</t>
  </si>
  <si>
    <t>High Frequency Over-the-Horizon Radar: Fundamental Principles, Signal Processing, and Practical Applications</t>
  </si>
  <si>
    <t>Giuseppe Aureliano Fabrizio, Ph.D.</t>
  </si>
  <si>
    <t>https://www.accessengineeringlibrary.com/content/book/9780071621274</t>
  </si>
  <si>
    <t>Handbook of Transportation Engineering, Volume II: Applications and Technologies, Second Edition</t>
  </si>
  <si>
    <t>Transportation engineering | Infrastructure</t>
  </si>
  <si>
    <t>https://www.accessengineeringlibrary.com/content/book/9780071614771</t>
  </si>
  <si>
    <t>Greening Brownfields: Remediation Through Sustainable Development</t>
  </si>
  <si>
    <t>William Sarni</t>
  </si>
  <si>
    <t>Sustainability | Land development | Pollution</t>
  </si>
  <si>
    <t>https://www.accessengineeringlibrary.com/content/book/9780071609098</t>
  </si>
  <si>
    <t>Handbook of Transportation Engineering, Volume I: Systems and Operations, Second Edition</t>
  </si>
  <si>
    <t>Transportation engineering | Operations management</t>
  </si>
  <si>
    <t>https://www.accessengineeringlibrary.com/content/book/9780071614924</t>
  </si>
  <si>
    <t>Analog IC Design with Low-Dropout Regulators (LDOs)</t>
  </si>
  <si>
    <t>Gabriel Alfonso RincĂłn-Mora</t>
  </si>
  <si>
    <t>https://www.accessengineeringlibrary.com/content/book/9780071608930</t>
  </si>
  <si>
    <t>Manure Pathogens: Manure Management, Regulations, and Water Quality Protection</t>
  </si>
  <si>
    <t>Waste engineering | Water resources engineering</t>
  </si>
  <si>
    <t>https://www.accessengineeringlibrary.com/content/book/9780071546898</t>
  </si>
  <si>
    <t>Industrial Water Quality, Fourth Edition</t>
  </si>
  <si>
    <t>W.Wesley Eckenfelder</t>
  </si>
  <si>
    <t>https://www.accessengineeringlibrary.com/content/book/9780071548663</t>
  </si>
  <si>
    <t>Phase-Space Optics: Fundamentals and Applications</t>
  </si>
  <si>
    <t>Markus Testorf</t>
  </si>
  <si>
    <t>Optical engineering | Signal processing | Material properties</t>
  </si>
  <si>
    <t>https://www.accessengineeringlibrary.com/content/book/9780071597982</t>
  </si>
  <si>
    <t>Green Roof Construction and Maintenance</t>
  </si>
  <si>
    <t>Kelly Luckett</t>
  </si>
  <si>
    <t>Construction engineering | Sustainability | Construction management</t>
  </si>
  <si>
    <t>https://www.accessengineeringlibrary.com/content/book/9780071608800</t>
  </si>
  <si>
    <t>Organic Electronics in Sensors and Biotechnology</t>
  </si>
  <si>
    <t>Ruth Shinar</t>
  </si>
  <si>
    <t>https://www.accessengineeringlibrary.com/content/book/9780071596756</t>
  </si>
  <si>
    <t>Switch-Mode Power Supplies: SPICE Simulations and Practical Designs</t>
  </si>
  <si>
    <t>Christophe Basso</t>
  </si>
  <si>
    <t>https://www.accessengineeringlibrary.com/content/book/9780071508582</t>
  </si>
  <si>
    <t>Inside the Civano Project: A Case Study of Large-Scale Sustainable Neighborhood Development</t>
  </si>
  <si>
    <t>C. Alan Nichols</t>
  </si>
  <si>
    <t>Sustainability | Water resources engineering | Renewable energy</t>
  </si>
  <si>
    <t>https://www.accessengineeringlibrary.com/content/book/9780071599313</t>
  </si>
  <si>
    <t>Handbook of Project-based Management: Leading Strategic Change in Organizations</t>
  </si>
  <si>
    <t>J. Rodney Turner</t>
  </si>
  <si>
    <t>https://www.accessengineeringlibrary.com/content/book/9780071549745</t>
  </si>
  <si>
    <t>Biosystems Engineering</t>
  </si>
  <si>
    <t>Ahindra Nag</t>
  </si>
  <si>
    <t>Fuels | Geological engineering | Water resources engineering</t>
  </si>
  <si>
    <t>https://www.accessengineeringlibrary.com/content/book/9780071606288</t>
  </si>
  <si>
    <t>Operation of Municipal Wastewater Treatment Plants: MoP No. 11, Sixth Edition</t>
  </si>
  <si>
    <t>https://www.accessengineeringlibrary.com/content/book/9780071543675</t>
  </si>
  <si>
    <t>Harrisâ€™ Shock and Vibration Handbook, Sixth Edition</t>
  </si>
  <si>
    <t>Allan G. Piersol</t>
  </si>
  <si>
    <t>Solid mechanics | Signal processing</t>
  </si>
  <si>
    <t>https://www.accessengineeringlibrary.com/content/book/9780071508193</t>
  </si>
  <si>
    <t>Nalco Water Handbook, Third Edition</t>
  </si>
  <si>
    <t>Daniel Flynn</t>
  </si>
  <si>
    <t>https://www.accessengineeringlibrary.com/content/book/9780071548830</t>
  </si>
  <si>
    <t>Extreme Ultraviolet Lithography</t>
  </si>
  <si>
    <t>Banqiu Wu</t>
  </si>
  <si>
    <t>Materials applications | Production engineering | Optical engineering</t>
  </si>
  <si>
    <t>https://www.accessengineeringlibrary.com/content/book/9780071549189</t>
  </si>
  <si>
    <t>Biomedical Applications of Light Scattering</t>
  </si>
  <si>
    <t>Adam Wax</t>
  </si>
  <si>
    <t>https://www.accessengineeringlibrary.com/content/book/9780071598804</t>
  </si>
  <si>
    <t>Applied Software Measurement</t>
  </si>
  <si>
    <t>https://www.accessengineeringlibrary.com/content/book/9780071502443</t>
  </si>
  <si>
    <t>SOA-Based Enterprise Integration: A Step-by-Step Guide to Services-Based Application Integration</t>
  </si>
  <si>
    <t>Waseem Roshen</t>
  </si>
  <si>
    <t>https://www.accessengineeringlibrary.com/content/book/9780071605526</t>
  </si>
  <si>
    <t>Electrical Safety of Low-Voltage Systems</t>
  </si>
  <si>
    <t>Massimo Mitolo</t>
  </si>
  <si>
    <t>https://www.accessengineeringlibrary.com/content/book/9780071508186</t>
  </si>
  <si>
    <t>Bioinformatics: Sequence Alignment and Markov Models</t>
  </si>
  <si>
    <t>Kal Renganathan Sharma</t>
  </si>
  <si>
    <t>https://www.accessengineeringlibrary.com/content/book/9780071593069</t>
  </si>
  <si>
    <t>Green Building Through Integrated Design (GreenSource Books)</t>
  </si>
  <si>
    <t>Jerry Yudelson</t>
  </si>
  <si>
    <t>Sustainability | Construction engineering | Construction management</t>
  </si>
  <si>
    <t>https://www.accessengineeringlibrary.com/content/book/9780071546010</t>
  </si>
  <si>
    <t>Making PIC Microcontroller Instruments and Controllers</t>
  </si>
  <si>
    <t>Harprit Singh Sandhu</t>
  </si>
  <si>
    <t>https://www.accessengineeringlibrary.com/content/book/9780071606165</t>
  </si>
  <si>
    <t>Vibrational Spectroscopic Imaging for Biomedical Applications</t>
  </si>
  <si>
    <t>Gokulakrishnan Srinivasan</t>
  </si>
  <si>
    <t>Optical engineering | Biomedical engineering</t>
  </si>
  <si>
    <t>https://www.accessengineeringlibrary.com/content/book/9780071596992</t>
  </si>
  <si>
    <t>Green Building Bottom Line: The Real Cost of Sustainable Building</t>
  </si>
  <si>
    <t>Martin Melaver</t>
  </si>
  <si>
    <t>Sustainability | Construction engineering | Marketing</t>
  </si>
  <si>
    <t>https://www.accessengineeringlibrary.com/content/book/9780071599214</t>
  </si>
  <si>
    <t>Bridge and Highway Structure Rehabilitation and Repair</t>
  </si>
  <si>
    <t>Mohiuddin A. Khan</t>
  </si>
  <si>
    <t>Infrastructure | Structural engineering | Materials</t>
  </si>
  <si>
    <t>https://www.accessengineeringlibrary.com/content/book/9780071545914</t>
  </si>
  <si>
    <t>NANO: The Essentials: Understanding Nanoscience and Nanotechnology</t>
  </si>
  <si>
    <t>T. Pradeep</t>
  </si>
  <si>
    <t>Materials | Electronics engineering | Nanotechnology</t>
  </si>
  <si>
    <t>https://www.accessengineeringlibrary.com/content/book/9780071548298</t>
  </si>
  <si>
    <t>Artificial Tactile Sensing in Biomedical Engineering</t>
  </si>
  <si>
    <t>Siamak Najarian</t>
  </si>
  <si>
    <t>https://www.accessengineeringlibrary.com/content/book/9780071601511</t>
  </si>
  <si>
    <t>Civil Engineering Formulas, Second Edition</t>
  </si>
  <si>
    <t>https://www.accessengineeringlibrary.com/content/book/9780071614696</t>
  </si>
  <si>
    <t>Design for Environment: A Guide to Sustainable Product Development, Second Edition</t>
  </si>
  <si>
    <t>Joseph Fiksel</t>
  </si>
  <si>
    <t>Sustainability | Product management | Production engineering</t>
  </si>
  <si>
    <t>https://www.accessengineeringlibrary.com/content/book/9780071605564</t>
  </si>
  <si>
    <t>Chalcogenide Glasses for Infrared Optics</t>
  </si>
  <si>
    <t>A. Ray Hilton</t>
  </si>
  <si>
    <t>Materials | Optical engineering | Materials applications</t>
  </si>
  <si>
    <t>https://www.accessengineeringlibrary.com/content/book/9780071596978</t>
  </si>
  <si>
    <t>Steel Water Storage Tanks: Design, Construction, Maintenance, and Repair</t>
  </si>
  <si>
    <t>Steve Meier</t>
  </si>
  <si>
    <t>Water resources engineering | Structural engineering | Materials applications</t>
  </si>
  <si>
    <t>https://www.accessengineeringlibrary.com/content/book/9780071549387</t>
  </si>
  <si>
    <t>Antennas for Base Stations in Wireless Communications</t>
  </si>
  <si>
    <t>Zhi Ning Chen</t>
  </si>
  <si>
    <t>https://www.accessengineeringlibrary.com/content/book/9780071612883</t>
  </si>
  <si>
    <t>Planning Fiber Optics Networks</t>
  </si>
  <si>
    <t>Bob Chomycz</t>
  </si>
  <si>
    <t>https://www.accessengineeringlibrary.com/content/book/9780071499194</t>
  </si>
  <si>
    <t>Schaumâ€™s Outline of Differential Equations, Third Edition</t>
  </si>
  <si>
    <t>Richard Bronson</t>
  </si>
  <si>
    <t>https://www.accessengineeringlibrary.com/content/book/9780071611626</t>
  </si>
  <si>
    <t>Sustainable On-Site CHP Systems: Design, Construction, and Operations</t>
  </si>
  <si>
    <t>Milton Meckler</t>
  </si>
  <si>
    <t>https://www.accessengineeringlibrary.com/content/book/9780071603171</t>
  </si>
  <si>
    <t>Sensors Handbook, Second Edition</t>
  </si>
  <si>
    <t>Sabrie Soloman</t>
  </si>
  <si>
    <t>https://www.accessengineeringlibrary.com/content/book/9780071605700</t>
  </si>
  <si>
    <t>Existing Sewer Evaluation and Rehabilitation: WEF Manual of Practice No. FD-6 ASCE/EWRI Manuals and Reports on Engineering Practice No. 62, Third Edition</t>
  </si>
  <si>
    <t>https://www.accessengineeringlibrary.com/content/book/9780071614757</t>
  </si>
  <si>
    <t>Schaumâ€™s Outline of Applied Physics, Fourth Edition</t>
  </si>
  <si>
    <t>Arthur Beiser</t>
  </si>
  <si>
    <t>Physics</t>
  </si>
  <si>
    <t>https://www.accessengineeringlibrary.com/content/book/9780071611572</t>
  </si>
  <si>
    <t>Facility Piping Systems Handbook: For Industrial, Commercial, and Healthcare Facilities, Third Edition</t>
  </si>
  <si>
    <t>Michael Frankel</t>
  </si>
  <si>
    <t>Water resources engineering | Pressure vessels and piping | Transport phenomena</t>
  </si>
  <si>
    <t>https://www.accessengineeringlibrary.com/content/book/9780071597210</t>
  </si>
  <si>
    <t>Hardware Implementation of Finite-Field Arithmetic</t>
  </si>
  <si>
    <t>Jean-Pierre Deschamps</t>
  </si>
  <si>
    <t>Circuit design | Logic design | Signal processing</t>
  </si>
  <si>
    <t>https://www.accessengineeringlibrary.com/content/book/9780071545815</t>
  </si>
  <si>
    <t>Maintenance Engineering Handbook, Seventh Edition</t>
  </si>
  <si>
    <t>Lindley R. Higgins</t>
  </si>
  <si>
    <t>https://www.accessengineeringlibrary.com/content/book/9780071546461</t>
  </si>
  <si>
    <t>Complete Wireless Design</t>
  </si>
  <si>
    <t>Cotter W. Sayre</t>
  </si>
  <si>
    <t>https://www.accessengineeringlibrary.com/content/book/9780071544528</t>
  </si>
  <si>
    <t>Solid Waste Analysis and Minimization: A Systems Approach</t>
  </si>
  <si>
    <t>Matthew J. Franchetti</t>
  </si>
  <si>
    <t>Waste engineering | Sustainability</t>
  </si>
  <si>
    <t>https://www.accessengineeringlibrary.com/content/book/9780071605243</t>
  </si>
  <si>
    <t>Practical Control Engineering: A Guide for Engineers, Managers, and Practitioners</t>
  </si>
  <si>
    <t>David M. Koenig</t>
  </si>
  <si>
    <t>Signal processing | Control engineering | Chemical process control</t>
  </si>
  <si>
    <t>https://www.accessengineeringlibrary.com/content/book/9780071606134</t>
  </si>
  <si>
    <t>Alternative Sewer Systems FD-12, Second Edition</t>
  </si>
  <si>
    <t>Waste engineering | Wastewater engineering | Fluid mechanics</t>
  </si>
  <si>
    <t>https://www.accessengineeringlibrary.com/content/book/9780071591225</t>
  </si>
  <si>
    <t>Optofluidics: Fundamentals, Devices, and Applications</t>
  </si>
  <si>
    <t>Yeshaiahu Fainman</t>
  </si>
  <si>
    <t>Optical engineering | Pressure vessels and piping | Miniaturization</t>
  </si>
  <si>
    <t>https://www.accessengineeringlibrary.com/content/book/9780071601566</t>
  </si>
  <si>
    <t>Land Development Calculations: Interactive Tools and Techniques for Site Planning, Analysis, and Design, Second Edition</t>
  </si>
  <si>
    <t>Walter Martin Hosack</t>
  </si>
  <si>
    <t>Land development | Construction engineering | Sustainability</t>
  </si>
  <si>
    <t>https://www.accessengineeringlibrary.com/content/book/9780071603218</t>
  </si>
  <si>
    <t>Highway Engineering Handbook: Building and Rehabilitating the Infrastructure, Third Edition</t>
  </si>
  <si>
    <t>Infrastructure | Structural engineering | Geotechnical engineering</t>
  </si>
  <si>
    <t>https://www.accessengineeringlibrary.com/content/book/9780071597630</t>
  </si>
  <si>
    <t>Steam Turbines: Design, Applications, and Rerating, Second Edition</t>
  </si>
  <si>
    <t>Heinz P. Bloch</t>
  </si>
  <si>
    <t>Power engineering | Fluid mechanics | Transport phenomena</t>
  </si>
  <si>
    <t>https://www.accessengineeringlibrary.com/content/book/9780071508216</t>
  </si>
  <si>
    <t>Digital Analysis of Remotely Sensed Imagery</t>
  </si>
  <si>
    <t>Jay Gao</t>
  </si>
  <si>
    <t>https://www.accessengineeringlibrary.com/content/book/9780071604659</t>
  </si>
  <si>
    <t>Water Loss Control, Second Edition</t>
  </si>
  <si>
    <t>Julian Thornton</t>
  </si>
  <si>
    <t>https://www.accessengineeringlibrary.com/content/book/9780071499187</t>
  </si>
  <si>
    <t>Design for Six Sigma: A Roadmap for Product Development, Second Edition</t>
  </si>
  <si>
    <t>https://www.accessengineeringlibrary.com/content/book/9780071547673</t>
  </si>
  <si>
    <t>Smart Process Plants Software and Hardware Solutions for Accurate Data and Profitable Operations</t>
  </si>
  <si>
    <t>Miguel J. Bagajewicz</t>
  </si>
  <si>
    <t>Electronics engineering | Data management | Maintenance engineering</t>
  </si>
  <si>
    <t>https://www.accessengineeringlibrary.com/content/book/9780071604710</t>
  </si>
  <si>
    <t>Sensors and Control Systems in Manufacturing, Second Edition</t>
  </si>
  <si>
    <t>https://www.accessengineeringlibrary.com/content/book/9780071605724</t>
  </si>
  <si>
    <t>Handbook of Structural Steel Connection Design and Details, Second Edition</t>
  </si>
  <si>
    <t>Akbar Tamboli</t>
  </si>
  <si>
    <t>Structural engineering | Machine design | Production engineering</t>
  </si>
  <si>
    <t>https://www.accessengineeringlibrary.com/content/book/9780071550055</t>
  </si>
  <si>
    <t>High Power Laser Handbook</t>
  </si>
  <si>
    <t>Hagop Injeyan</t>
  </si>
  <si>
    <t>https://www.accessengineeringlibrary.com/content/book/9780071609012</t>
  </si>
  <si>
    <t>Urban Construction Project Management (McGraw-Hill Construction Series)</t>
  </si>
  <si>
    <t>Richard Lambeck</t>
  </si>
  <si>
    <t>Construction engineering | Construction management | Operations management</t>
  </si>
  <si>
    <t>https://www.accessengineeringlibrary.com/content/book/9780071544689</t>
  </si>
  <si>
    <t>Alternative Energy Systems in Building Design</t>
  </si>
  <si>
    <t>https://www.accessengineeringlibrary.com/content/book/9780071621472</t>
  </si>
  <si>
    <t>Software &amp;  Systems Requirements Engineering: In Practice</t>
  </si>
  <si>
    <t>Brian Berenbach</t>
  </si>
  <si>
    <t>https://www.accessengineeringlibrary.com/content/book/9780071605472</t>
  </si>
  <si>
    <t>Wastewater Solids Incineration Systems MoP 30</t>
  </si>
  <si>
    <t>Mechanical thermodynamics | Thermal engineering | Waste engineering</t>
  </si>
  <si>
    <t>https://www.accessengineeringlibrary.com/content/book/9780071614719</t>
  </si>
  <si>
    <t>Sustainability in the Process Industry: Integration and Optimization</t>
  </si>
  <si>
    <t>JirĂ­ Klemes</t>
  </si>
  <si>
    <t>Sustainability | Water resources engineering | Transport phenomena</t>
  </si>
  <si>
    <t>https://www.accessengineeringlibrary.com/content/book/9780071605540</t>
  </si>
  <si>
    <t>Communication Satellite Antennas: System Architecture, Technology, and Evaluation</t>
  </si>
  <si>
    <t>Robert Dybdal</t>
  </si>
  <si>
    <t>https://www.accessengineeringlibrary.com/content/book/9780071609180</t>
  </si>
  <si>
    <t>Manager's Guide to Fostering Innovation and Creativity in Teams</t>
  </si>
  <si>
    <t>Charles Prather, Ph.D.</t>
  </si>
  <si>
    <t>Innovation | Business management</t>
  </si>
  <si>
    <t>https://www.accessengineeringlibrary.com/content/book/9780071627979</t>
  </si>
  <si>
    <t>Nanotechnology for Environmental Decontamination</t>
  </si>
  <si>
    <t>Manoj K. Ram</t>
  </si>
  <si>
    <t>https://www.accessengineeringlibrary.com/content/book/9780071702799</t>
  </si>
  <si>
    <t>Steam Plant Operation, Ninth Edition</t>
  </si>
  <si>
    <t>Everett B. Woodruff</t>
  </si>
  <si>
    <t>https://www.accessengineeringlibrary.com/content/book/9780071667968</t>
  </si>
  <si>
    <t>Microwave Transmission Networks: Planning, Design, and Deployment, Second Edition</t>
  </si>
  <si>
    <t>Harvey Lehpamer</t>
  </si>
  <si>
    <t>https://www.accessengineeringlibrary.com/content/book/9780071701228</t>
  </si>
  <si>
    <t>Nanostructuring Operations in Nanoscale Science and Engineering</t>
  </si>
  <si>
    <t>Materials | Materials applications | Production engineering</t>
  </si>
  <si>
    <t>https://www.accessengineeringlibrary.com/content/book/9780071622950</t>
  </si>
  <si>
    <t>Frontiers in Antennas: Next Generation Design &amp; Engineering</t>
  </si>
  <si>
    <t>Frank B. Gross</t>
  </si>
  <si>
    <t>https://www.accessengineeringlibrary.com/content/book/9780071637930</t>
  </si>
  <si>
    <t>Switchmode Power Supply Handbook, Third Edition</t>
  </si>
  <si>
    <t>Keith Billings</t>
  </si>
  <si>
    <t>https://www.accessengineeringlibrary.com/content/book/9780071639712</t>
  </si>
  <si>
    <t>Optical Waveguide Modes: Polarization, Coupling and Symmetry</t>
  </si>
  <si>
    <t>Richard J. Black</t>
  </si>
  <si>
    <t>Optical engineering | Material properties | Materials applications</t>
  </si>
  <si>
    <t>https://www.accessengineeringlibrary.com/content/book/9780071622967</t>
  </si>
  <si>
    <t>In Vivo Clinical Imaging and Diagnosis</t>
  </si>
  <si>
    <t>James Tunnell</t>
  </si>
  <si>
    <t>Optical engineering | Biomedical engineering | Biology</t>
  </si>
  <si>
    <t>https://www.accessengineeringlibrary.com/content/book/9780071626835</t>
  </si>
  <si>
    <t>Structural Steel Designer's Handbook, Fifth Edition</t>
  </si>
  <si>
    <t>Roger Brockenbrough, P.E.</t>
  </si>
  <si>
    <t>Structural engineering | Solid mechanics | Infrastructure</t>
  </si>
  <si>
    <t>https://www.accessengineeringlibrary.com/content/book/9780071666664</t>
  </si>
  <si>
    <t>HVAC Systems Design Handbook, Fifth Edition</t>
  </si>
  <si>
    <t>Roger W. Haines, P.E.</t>
  </si>
  <si>
    <t>Heating ventilation and air conditioning | Transport phenomena | Mechanical thermodynamics</t>
  </si>
  <si>
    <t>https://www.accessengineeringlibrary.com/content/book/9780071622974</t>
  </si>
  <si>
    <t>Steel Structures Design: ASD/LRFD</t>
  </si>
  <si>
    <t>Alan Williams, Ph.D., S.E., F.I.C.E., C. Eng.</t>
  </si>
  <si>
    <t>https://www.accessengineeringlibrary.com/content/book/9780071638371</t>
  </si>
  <si>
    <t>How To Implement Lean Manufacturing</t>
  </si>
  <si>
    <t>Lonnie Wilson</t>
  </si>
  <si>
    <t>https://www.accessengineeringlibrary.com/content/book/9780071625074</t>
  </si>
  <si>
    <t>24 Deadly Sins of Software Security: Programming Flaws and How to Fix Them</t>
  </si>
  <si>
    <t>Michael Howard</t>
  </si>
  <si>
    <t>https://www.accessengineeringlibrary.com/content/book/9780071626750</t>
  </si>
  <si>
    <t>Construction Administration for Architects</t>
  </si>
  <si>
    <t>Greg Winkler</t>
  </si>
  <si>
    <t>Construction engineering | Construction management</t>
  </si>
  <si>
    <t>https://www.accessengineeringlibrary.com/content/book/9780071622318</t>
  </si>
  <si>
    <t>Production Systems Engineering: Cost and Performance Optimization</t>
  </si>
  <si>
    <t>Richard E. Gustavson</t>
  </si>
  <si>
    <t>Production engineering | Engineering economics | Finance</t>
  </si>
  <si>
    <t>https://www.accessengineeringlibrary.com/content/book/9780071701884</t>
  </si>
  <si>
    <t>Theory of Constraints Handbook</t>
  </si>
  <si>
    <t>James F. Cox III, Ph.D, CFPIM, CIRM</t>
  </si>
  <si>
    <t>https://www.accessengineeringlibrary.com/content/book/9780071665544</t>
  </si>
  <si>
    <t>Petroleum Fuels Manufacturing Handbook: Including Specialty Products and Sustainable Manufacturing Techniques</t>
  </si>
  <si>
    <t>Surinder Parkash</t>
  </si>
  <si>
    <t>Fuels | Petroleum engineering | Power engineering</t>
  </si>
  <si>
    <t>https://www.accessengineeringlibrary.com/content/book/9780071632409</t>
  </si>
  <si>
    <t>Presentation Secrets of Steve Jobs: How to Be Insanely Great in Front of Any Audience</t>
  </si>
  <si>
    <t>Carmine Gallo</t>
  </si>
  <si>
    <t>https://www.accessengineeringlibrary.com/content/book/9780071636087</t>
  </si>
  <si>
    <t>Handbook of Optics: Volume V â€“ Atmospheric Optics, Modulators, Fiber Optics, X-Ray and Neutron Optics, Third Edition</t>
  </si>
  <si>
    <t>https://www.accessengineeringlibrary.com/content/book/9780071633130</t>
  </si>
  <si>
    <t>Greening Existing Buildings</t>
  </si>
  <si>
    <t>https://www.accessengineeringlibrary.com/content/book/9780071638326</t>
  </si>
  <si>
    <t>Schaumâ€™s Outline of Microbiology, Second Edition</t>
  </si>
  <si>
    <t>I. Edward Alcamo, Ph.D.</t>
  </si>
  <si>
    <t>https://www.accessengineeringlibrary.com/content/book/9780071623261</t>
  </si>
  <si>
    <t>Blade Design and Analysis for Steam Turbines</t>
  </si>
  <si>
    <t>Dr. Murari P. Singh</t>
  </si>
  <si>
    <t>Power engineering | Solid mechanics | Fluid mechanics</t>
  </si>
  <si>
    <t>https://www.accessengineeringlibrary.com/content/book/9780071635745</t>
  </si>
  <si>
    <t>CATIA Core Tools: Computer Aided Three-Dimensional Interactive Application</t>
  </si>
  <si>
    <t>Michel Michaud</t>
  </si>
  <si>
    <t>CATIA</t>
  </si>
  <si>
    <t>https://www.accessengineeringlibrary.com/content/book/9780071700269</t>
  </si>
  <si>
    <t>Disassembly Line: Balancing and Modeling</t>
  </si>
  <si>
    <t>Seamus M. McGovern</t>
  </si>
  <si>
    <t>Production engineering</t>
  </si>
  <si>
    <t>https://www.accessengineeringlibrary.com/content/book/9780071622875</t>
  </si>
  <si>
    <t>Software Engineering Best Practices: Lessons from Successful Projects in the Top Companies</t>
  </si>
  <si>
    <t>https://www.accessengineeringlibrary.com/content/book/9780071621618</t>
  </si>
  <si>
    <t>Manufacturing Execution Systems: Optimal Design, Planning, and Deployment</t>
  </si>
  <si>
    <t>Heiko Meyer</t>
  </si>
  <si>
    <t>Production engineering | Data management | Operations management</t>
  </si>
  <si>
    <t>https://www.accessengineeringlibrary.com/content/book/9780071623834</t>
  </si>
  <si>
    <t>Nanoscale CMOS VLSI Circuits: Design for Manufacturability</t>
  </si>
  <si>
    <t>Sandip Kundu</t>
  </si>
  <si>
    <t>https://www.accessengineeringlibrary.com/content/book/9780071635196</t>
  </si>
  <si>
    <t>Boss's Survival Guide: Workplace 911 for the Toughest Problems Today's Managers Face, Second Edition</t>
  </si>
  <si>
    <t>Bob Rosner</t>
  </si>
  <si>
    <t>https://www.accessengineeringlibrary.com/content/book/9780071668088</t>
  </si>
  <si>
    <t>Advanced MEMS Packaging</t>
  </si>
  <si>
    <t>Electronics engineering | Miniaturization | Materials applications</t>
  </si>
  <si>
    <t>https://www.accessengineeringlibrary.com/content/book/9780071626231</t>
  </si>
  <si>
    <t>Green Architecture: Advanced Technologies and Materials</t>
  </si>
  <si>
    <t>Osman Attmann</t>
  </si>
  <si>
    <t>Sustainability | Materials | Renewable energy</t>
  </si>
  <si>
    <t>https://www.accessengineeringlibrary.com/content/book/9780071625012</t>
  </si>
  <si>
    <t>Human Factors and Ergonomics Design Handbook, Third Edition</t>
  </si>
  <si>
    <t>Barry Tillman</t>
  </si>
  <si>
    <t>Human factors engineering | Construction engineering | Solid mechanics</t>
  </si>
  <si>
    <t>https://www.accessengineeringlibrary.com/content/book/9780071702874</t>
  </si>
  <si>
    <t>Practical Antenna Handbook, Fifth Edition</t>
  </si>
  <si>
    <t>https://www.accessengineeringlibrary.com/content/book/9780071639583</t>
  </si>
  <si>
    <t>Lindenâ€™s Handbook of Batteries, Fourth Edition</t>
  </si>
  <si>
    <t>Thomas B. Reddy</t>
  </si>
  <si>
    <t>https://www.accessengineeringlibrary.com/content/book/9780071624213</t>
  </si>
  <si>
    <t>Water Quality &amp; Treatment: A Handbook on Drinking Water, Sixth Edition</t>
  </si>
  <si>
    <t>American Water Works Association</t>
  </si>
  <si>
    <t>Water treatment | Water resources engineering | Waste engineering</t>
  </si>
  <si>
    <t>https://www.accessengineeringlibrary.com/content/book/9780071630115</t>
  </si>
  <si>
    <t>Transport Phenomena in Biomedical Engineering: Artifical organ Design and Development, and Tissue Engineering</t>
  </si>
  <si>
    <t>Transport phenomena | Production engineering | Materials applications</t>
  </si>
  <si>
    <t>https://www.accessengineeringlibrary.com/content/book/9780071663977</t>
  </si>
  <si>
    <t>Stem Cell Technologies: Basics and Applications</t>
  </si>
  <si>
    <t>Satish Totey</t>
  </si>
  <si>
    <t>https://www.accessengineeringlibrary.com/content/book/9780071635721</t>
  </si>
  <si>
    <t>Masonry Structural Design</t>
  </si>
  <si>
    <t>Richard E. Klingner</t>
  </si>
  <si>
    <t>https://www.accessengineeringlibrary.com/content/book/9780071638302</t>
  </si>
  <si>
    <t>Remote Sensing for Biodiversity and Wildlife Management: Synthesis and Applications</t>
  </si>
  <si>
    <t>Steven E. Franklin</t>
  </si>
  <si>
    <t>https://www.accessengineeringlibrary.com/content/book/9780071622479</t>
  </si>
  <si>
    <t>Drucker Lectures: Essential Lessons on Management, Society and Economy</t>
  </si>
  <si>
    <t>Rick Wartzman</t>
  </si>
  <si>
    <t>https://www.accessengineeringlibrary.com/content/book/9780071700450</t>
  </si>
  <si>
    <t>Schaumâ€™s Outline of Strength of Materials, Fifth Edition</t>
  </si>
  <si>
    <t>William Nash</t>
  </si>
  <si>
    <t>https://www.accessengineeringlibrary.com/content/book/9780071635080</t>
  </si>
  <si>
    <t>Six Sigma Handbook: A Complete Guide for Green Belts, Black Belts, and Managers at All Levels, Third Edition</t>
  </si>
  <si>
    <t>Thomas Pyzdek</t>
  </si>
  <si>
    <t>https://www.accessengineeringlibrary.com/content/book/9780071623384</t>
  </si>
  <si>
    <t>Schaumâ€™s Outline of Advanced Calculus, Third Edition</t>
  </si>
  <si>
    <t>Robert Wrede</t>
  </si>
  <si>
    <t>Calculus</t>
  </si>
  <si>
    <t>https://www.accessengineeringlibrary.com/content/book/9780071623667</t>
  </si>
  <si>
    <t>CPM in Construction Management, Seventh Edition</t>
  </si>
  <si>
    <t>James J. Oâ€™Brien</t>
  </si>
  <si>
    <t>https://www.accessengineeringlibrary.com/content/book/9780071636643</t>
  </si>
  <si>
    <t>Solar Hydrogen Generation: Transition Metal Oxides in Water Photoelectrolysis</t>
  </si>
  <si>
    <t>Jinghua Guo, Ph.D.</t>
  </si>
  <si>
    <t>Materials applications | Chemical processes | Optical engineering</t>
  </si>
  <si>
    <t>https://www.accessengineeringlibrary.com/content/book/9780071701266</t>
  </si>
  <si>
    <t>Systems Analysis for Sustainable Engineering: Theory and Applications (Green Manufacturing &amp; Systems Engineering)</t>
  </si>
  <si>
    <t>Ni-Bin Chang</t>
  </si>
  <si>
    <t>Sustainability | Water resources engineering | Natural resources management</t>
  </si>
  <si>
    <t>https://www.accessengineeringlibrary.com/content/book/9780071630054</t>
  </si>
  <si>
    <t>Heat Transfer in Process Engineering</t>
  </si>
  <si>
    <t>Eduardo Cao</t>
  </si>
  <si>
    <t>Transport phenomena | Heat transfer | Mechanical thermodynamics</t>
  </si>
  <si>
    <t>https://www.accessengineeringlibrary.com/content/book/9780071624084</t>
  </si>
  <si>
    <t>Running Small Motors with PIC Microcontrollers</t>
  </si>
  <si>
    <t>https://www.accessengineeringlibrary.com/content/book/9780071633512</t>
  </si>
  <si>
    <t>Schaumâ€™s Outline of Quantum Mechanics, Second Edition</t>
  </si>
  <si>
    <t>Yoav Peleg, Ph.D.</t>
  </si>
  <si>
    <t>https://www.accessengineeringlibrary.com/content/book/9780071623582</t>
  </si>
  <si>
    <t>Global Program Management</t>
  </si>
  <si>
    <t>Paula Wagner</t>
  </si>
  <si>
    <t>https://www.accessengineeringlibrary.com/content/book/9780071621830</t>
  </si>
  <si>
    <t>Quantitative Phase Imaging of Cells and Tissues</t>
  </si>
  <si>
    <t>Gabriel Popescu</t>
  </si>
  <si>
    <t>https://www.accessengineeringlibrary.com/content/book/9780071663427</t>
  </si>
  <si>
    <t>Wastewater Collection Systems Management MoP 7, Sixth Edition</t>
  </si>
  <si>
    <t>Waste engineering | Engineering economics | Maintenance engineering</t>
  </si>
  <si>
    <t>https://www.accessengineeringlibrary.com/content/book/9780071666633</t>
  </si>
  <si>
    <t>Green Supply Chain Management: Product Life Cycle Approach</t>
  </si>
  <si>
    <t>Hsiao-Fan Wang</t>
  </si>
  <si>
    <t>Production engineering | Sustainability | Data management</t>
  </si>
  <si>
    <t>https://www.accessengineeringlibrary.com/content/book/9780071622837</t>
  </si>
  <si>
    <t>JavaServer Faces 2.0: The Complete Reference</t>
  </si>
  <si>
    <t>Ed Burns</t>
  </si>
  <si>
    <t>https://www.accessengineeringlibrary.com/content/book/9780071625098</t>
  </si>
  <si>
    <t>Engineering Thermodynamics of Thermal Radiation: for Solar Power Utilization</t>
  </si>
  <si>
    <t>Ryszard Petela</t>
  </si>
  <si>
    <t>Mechanical thermodynamics | Chemical thermodynamics | Materials applications</t>
  </si>
  <si>
    <t>https://www.accessengineeringlibrary.com/content/book/9780071639620</t>
  </si>
  <si>
    <t>Juran's Quality Handbook: The Complete Guide to Performance Excellence, Sixth Edition</t>
  </si>
  <si>
    <t>Joseph M. Juran</t>
  </si>
  <si>
    <t>https://www.accessengineeringlibrary.com/content/book/9780071629737</t>
  </si>
  <si>
    <t>Carbon Nano Forms and Applications</t>
  </si>
  <si>
    <t>Maheshwar Sharon</t>
  </si>
  <si>
    <t>Materials | Power engineering | Electronics engineering</t>
  </si>
  <si>
    <t>https://www.accessengineeringlibrary.com/content/book/9780071639606</t>
  </si>
  <si>
    <t>Ductile Design of Steel Structures, Second Edition</t>
  </si>
  <si>
    <t>Michel Bruneau, Ph.D., P.Eng.</t>
  </si>
  <si>
    <t>Structural engineering | Solid mechanics | Materials</t>
  </si>
  <si>
    <t>https://www.accessengineeringlibrary.com/content/book/9780071623957</t>
  </si>
  <si>
    <t>Schaumâ€™s Outline of Engineering Mechanics: Statics</t>
  </si>
  <si>
    <t>E. Nelson</t>
  </si>
  <si>
    <t>https://www.accessengineeringlibrary.com/content/book/9780071632379</t>
  </si>
  <si>
    <t>Computer-Aided Drug Design and Delivery Systems</t>
  </si>
  <si>
    <t>Biomedical engineering | Electronics engineering | Pharmacology</t>
  </si>
  <si>
    <t>https://www.accessengineeringlibrary.com/content/book/9780071701242</t>
  </si>
  <si>
    <t>Design of Municipal Wastewater Treatment Plants: WEF Manual of Practice No. 8 ASCE Manuals and Reports on Engineering Practice No. 76, Fifth Edition</t>
  </si>
  <si>
    <t>https://www.accessengineeringlibrary.com/content/book/9780071663588</t>
  </si>
  <si>
    <t>Fluid Power Engineering</t>
  </si>
  <si>
    <t>Mahmoud Galal El-Din Mohamed Rabi</t>
  </si>
  <si>
    <t>https://www.accessengineeringlibrary.com/content/book/9780071622462</t>
  </si>
  <si>
    <t>Prevention and Control of Sewer System Overflows: MOP FD-17, Third Edition</t>
  </si>
  <si>
    <t>https://www.accessengineeringlibrary.com/content/book/9780071738606</t>
  </si>
  <si>
    <t>Project Manager's Portable Handbook, Third Edition</t>
  </si>
  <si>
    <t>David I. Cleland, Ph.D.</t>
  </si>
  <si>
    <t>https://www.accessengineeringlibrary.com/content/book/9780071741057</t>
  </si>
  <si>
    <t>Six Sigma for Sustainability: How Organizations Design and Deploy Winning Environmental Programs</t>
  </si>
  <si>
    <t>Tom McCarty</t>
  </si>
  <si>
    <t>Sustainability | Process engineering | Quality management</t>
  </si>
  <si>
    <t>https://www.accessengineeringlibrary.com/content/book/9780071752442</t>
  </si>
  <si>
    <t>Chemical Technicians' Ready Reference Handbook, Fifth Edition</t>
  </si>
  <si>
    <t>Jack T. Ballinger</t>
  </si>
  <si>
    <t>https://www.accessengineeringlibrary.com/content/book/9780071745925</t>
  </si>
  <si>
    <t>Business Plans that Work: A Guide for Small Business, Second Edition</t>
  </si>
  <si>
    <t>Andrew Zacharakis, Ph.D.</t>
  </si>
  <si>
    <t>Entrepreneurship | Engineering economics | Marketing</t>
  </si>
  <si>
    <t>https://www.accessengineeringlibrary.com/content/book/9780071748834</t>
  </si>
  <si>
    <t>Reliability of RoHS-Compliant 2D and 3D IC Interconnects</t>
  </si>
  <si>
    <t>Electronics engineering | Materials applications | Quality engineering</t>
  </si>
  <si>
    <t>https://www.accessengineeringlibrary.com/content/book/9780071753791</t>
  </si>
  <si>
    <t>CMOS Nanoelectronics: Analog and RF VLSI Circuits</t>
  </si>
  <si>
    <t>Krzysztof (Kris) Iniewski, Ph.D.</t>
  </si>
  <si>
    <t>https://www.accessengineeringlibrary.com/content/book/9780071755658</t>
  </si>
  <si>
    <t>Design of Wood Structuresâ€”ASD/LRFD, Seventh Edition</t>
  </si>
  <si>
    <t>Donald E. Breyer, P.E.</t>
  </si>
  <si>
    <t>https://www.accessengineeringlibrary.com/content/book/9780071745604</t>
  </si>
  <si>
    <t>Wind Energy Engineering</t>
  </si>
  <si>
    <t>Pramod Jain, Ph.D.</t>
  </si>
  <si>
    <t>https://www.accessengineeringlibrary.com/content/book/9780071714778</t>
  </si>
  <si>
    <t>15 Dangerously Mad Projects for the Evil Genius</t>
  </si>
  <si>
    <t>Dr. Simon Monk</t>
  </si>
  <si>
    <t>Makerspace electronics</t>
  </si>
  <si>
    <t>https://www.accessengineeringlibrary.com/content/book/9780071755672</t>
  </si>
  <si>
    <t>Water Treatment Plant Design, Fifth Edition</t>
  </si>
  <si>
    <t>The American Water Works Association (AWWA)</t>
  </si>
  <si>
    <t>Water treatment | Waste engineering | Wastewater engineering</t>
  </si>
  <si>
    <t>https://www.accessengineeringlibrary.com/content/book/9780071745727</t>
  </si>
  <si>
    <t>Orlicky's Material Requirements Planning, Third Edition</t>
  </si>
  <si>
    <t>Carol Ptak</t>
  </si>
  <si>
    <t>Operations management | Materials handling | Production engineering</t>
  </si>
  <si>
    <t>https://www.accessengineeringlibrary.com/content/book/9780071755634</t>
  </si>
  <si>
    <t>Lineman's and Cableman's Handbook, Twelfth Edition</t>
  </si>
  <si>
    <t>Thomas M. Shoemaker</t>
  </si>
  <si>
    <t>https://www.accessengineeringlibrary.com/content/book/9780071742580</t>
  </si>
  <si>
    <t>Schaumâ€™s Outline of Engineering Mechanics Dynamics</t>
  </si>
  <si>
    <t>Solid mechanics</t>
  </si>
  <si>
    <t>https://www.accessengineeringlibrary.com/content/book/9780071713603</t>
  </si>
  <si>
    <t>Making Things Move: DIY Mechanisms for Inventors, Hobbyists, and Artists</t>
  </si>
  <si>
    <t>Dustyn Roberts</t>
  </si>
  <si>
    <t>DIY machines and mechanisms</t>
  </si>
  <si>
    <t>https://www.accessengineeringlibrary.com/content/book/9780071741675</t>
  </si>
  <si>
    <t>Lean Six Sigma Demystified, Second Edition</t>
  </si>
  <si>
    <t>Jay Arthur</t>
  </si>
  <si>
    <t>Quality engineering | Quality management | Operations management</t>
  </si>
  <si>
    <t>https://www.accessengineeringlibrary.com/content/book/9780071749091</t>
  </si>
  <si>
    <t>New Articulate Executive: Look, Act and Sound Like a Leader</t>
  </si>
  <si>
    <t>Granville Toogood</t>
  </si>
  <si>
    <t>https://www.accessengineeringlibrary.com/content/book/9780071743266</t>
  </si>
  <si>
    <t>Robot Builder's Bonanza, Fourth Edition</t>
  </si>
  <si>
    <t>Gordon McComb</t>
  </si>
  <si>
    <t>https://www.accessengineeringlibrary.com/content/book/9780071750363</t>
  </si>
  <si>
    <t>Handbook of Corrosion Engineering, Second Edition</t>
  </si>
  <si>
    <t>Pierre R. Roberge, Ph.D.</t>
  </si>
  <si>
    <t>https://www.accessengineeringlibrary.com/content/book/9780071750370</t>
  </si>
  <si>
    <t>Six Sigma DemystifiedÂ®, Second Edition</t>
  </si>
  <si>
    <t>Paul Keller</t>
  </si>
  <si>
    <t>https://www.accessengineeringlibrary.com/content/book/9780071746793</t>
  </si>
  <si>
    <t>Writing Winning Business Proposals, Third Edition</t>
  </si>
  <si>
    <t>Richard C. Freed</t>
  </si>
  <si>
    <t>Business communication | Entrepreneurship</t>
  </si>
  <si>
    <t>https://www.accessengineeringlibrary.com/content/book/9780071742320</t>
  </si>
  <si>
    <t>Nanobiophotonics</t>
  </si>
  <si>
    <t>Optical engineering | Biology | Materials</t>
  </si>
  <si>
    <t>https://www.accessengineeringlibrary.com/content/book/9780071737012</t>
  </si>
  <si>
    <t>Handbook of Energy Engineering Calculations</t>
  </si>
  <si>
    <t>Tyler G. Hicks, P.E.</t>
  </si>
  <si>
    <t>Energy engineering</t>
  </si>
  <si>
    <t>https://www.accessengineeringlibrary.com/content/book/9780071745529</t>
  </si>
  <si>
    <t>McGraw-Hill's National Electrical Code 2011 Handbook, 27th Edition</t>
  </si>
  <si>
    <t>Brian J. McPartland</t>
  </si>
  <si>
    <t>https://www.accessengineeringlibrary.com/content/book/9780071745703</t>
  </si>
  <si>
    <t>Valve Handbook, Third Edition</t>
  </si>
  <si>
    <t>Philip L. Skousen</t>
  </si>
  <si>
    <t>Fluid mechanics | Transport phenomena | Machine design</t>
  </si>
  <si>
    <t>https://www.accessengineeringlibrary.com/content/book/9780071743891</t>
  </si>
  <si>
    <t>Pitch Anything: An Innovative Method for Presenting, Persuading, and Winning the Deal</t>
  </si>
  <si>
    <t>Oren Klaff</t>
  </si>
  <si>
    <t>https://www.accessengineeringlibrary.com/content/book/9780071752855</t>
  </si>
  <si>
    <t>Sustainable Thermal Storage Systems: Planning, Design, and Operations</t>
  </si>
  <si>
    <t>Lucas B. Hyman, P.E., LEED-AP</t>
  </si>
  <si>
    <t>Thermal engineering | Power engineering</t>
  </si>
  <si>
    <t>https://www.accessengineeringlibrary.com/content/book/9780071752978</t>
  </si>
  <si>
    <t>Manufacturing Planning and Control for Supply Chain Management: APICS/CPIM Certification Edition</t>
  </si>
  <si>
    <t>F. Robert Jacobs</t>
  </si>
  <si>
    <t>https://www.accessengineeringlibrary.com/content/book/9780071750318</t>
  </si>
  <si>
    <t>Bridge Engineering: Design, Rehabilitation, and Maintenance of Modern Highway Bridges, Third Edition</t>
  </si>
  <si>
    <t>Jim J. Zhao</t>
  </si>
  <si>
    <t>https://www.accessengineeringlibrary.com/content/book/9780071752497</t>
  </si>
  <si>
    <t>McGraw-Hill 36-Hour Course: Operations Management</t>
  </si>
  <si>
    <t>Linda L. Brennan, Ph.D.</t>
  </si>
  <si>
    <t>Operations management | Project management | Quality engineering</t>
  </si>
  <si>
    <t>https://www.accessengineeringlibrary.com/content/book/9780071743839</t>
  </si>
  <si>
    <t>Manager's Guide to Virtual Teams</t>
  </si>
  <si>
    <t>Kimball Fisher and Mareen Fisher</t>
  </si>
  <si>
    <t>https://www.accessengineeringlibrary.com/content/book/9780071754934</t>
  </si>
  <si>
    <t>Roark's Formulas for Stress and Strain, Eighth Edition</t>
  </si>
  <si>
    <t>Warren C. Young</t>
  </si>
  <si>
    <t>https://www.accessengineeringlibrary.com/content/book/9780071742474</t>
  </si>
  <si>
    <t>Innovation Secrets of Steve Jobs: Insanely Different Principles for Breakthrough Success</t>
  </si>
  <si>
    <t>Entrepreneurship | Innovation</t>
  </si>
  <si>
    <t>https://www.accessengineeringlibrary.com/content/book/9780071748759</t>
  </si>
  <si>
    <t>Statistical Process Control Demystified</t>
  </si>
  <si>
    <t>https://www.accessengineeringlibrary.com/content/book/9780071742498</t>
  </si>
  <si>
    <t>Information Technology in Water and Wastewater Utilities: WEF MoP No. 33</t>
  </si>
  <si>
    <t>Information technology | Waste engineering | Wastewater engineering</t>
  </si>
  <si>
    <t>https://www.accessengineeringlibrary.com/content/book/9780071737050</t>
  </si>
  <si>
    <t>Teach Yourself Electricity and Electronics, 5th Edition</t>
  </si>
  <si>
    <t>Stan Gibilisco</t>
  </si>
  <si>
    <t>https://www.accessengineeringlibrary.com/content/book/9780071741354</t>
  </si>
  <si>
    <t>McGraw-Hill 36-Hour Course: Lean Six Sigma</t>
  </si>
  <si>
    <t>Sheila Shaffie</t>
  </si>
  <si>
    <t>https://www.accessengineeringlibrary.com/content/book/9780071743853</t>
  </si>
  <si>
    <t>Biofilm Reactors - WEF MoP 35</t>
  </si>
  <si>
    <t>https://www.accessengineeringlibrary.com/content/book/9780071737074</t>
  </si>
  <si>
    <t>An Introduction to Contemporary Remote Sensing</t>
  </si>
  <si>
    <t>Qihao Weng, Ph.D.</t>
  </si>
  <si>
    <t>https://www.accessengineeringlibrary.com/content/book/9780071740111</t>
  </si>
  <si>
    <t>Water and Wastewater Engineering: Design Principles and Practice</t>
  </si>
  <si>
    <t>Mackenzie L. Davis, Ph.D., P.E., DEE</t>
  </si>
  <si>
    <t>https://www.accessengineeringlibrary.com/content/book/9780071713849</t>
  </si>
  <si>
    <t>Optical Systems Engineering</t>
  </si>
  <si>
    <t>Keith J. Kasunic, Ph.D.</t>
  </si>
  <si>
    <t>https://www.accessengineeringlibrary.com/content/book/9780071754408</t>
  </si>
  <si>
    <t>Nutrient Removal: WEF MoP No. 34</t>
  </si>
  <si>
    <t>Wastewater engineering | Waste engineering</t>
  </si>
  <si>
    <t>https://www.accessengineeringlibrary.com/content/book/9780071737098</t>
  </si>
  <si>
    <t>Temporary Structures in Construction, Third Edition</t>
  </si>
  <si>
    <t>Robert T. Ratay, Ph.D., P.E.</t>
  </si>
  <si>
    <t>https://www.accessengineeringlibrary.com/content/book/9780071753074</t>
  </si>
  <si>
    <t>Vibrations of Continuous Systems</t>
  </si>
  <si>
    <t>Arthur W. Leissa</t>
  </si>
  <si>
    <t>https://www.accessengineeringlibrary.com/content/book/9780071714792</t>
  </si>
  <si>
    <t>Modeling and Simulation in Biomedical Engineering: Applications in Cardiorespiratory Physiology</t>
  </si>
  <si>
    <t>Willem van Meurs, Ph.D.</t>
  </si>
  <si>
    <t>Biology | Fluid mechanics | Transport phenomena</t>
  </si>
  <si>
    <t>https://www.accessengineeringlibrary.com/content/book/9780071714457</t>
  </si>
  <si>
    <t>Nalco Guide to Boiler Failure Analysis, Second Edition</t>
  </si>
  <si>
    <t>Nalco Company</t>
  </si>
  <si>
    <t>https://www.accessengineeringlibrary.com/content/book/9780071743006</t>
  </si>
  <si>
    <t>Electrical Safety Handbook, Fourth Edition</t>
  </si>
  <si>
    <t>John Cadick, P.E.</t>
  </si>
  <si>
    <t>https://www.accessengineeringlibrary.com/content/book/9780071745130</t>
  </si>
  <si>
    <t>Perfect Phrases for Managers and Supervisors, Second Edition</t>
  </si>
  <si>
    <t>Meryl Runion</t>
  </si>
  <si>
    <t>Business communication | Business management</t>
  </si>
  <si>
    <t>https://www.accessengineeringlibrary.com/content/book/9780071742313</t>
  </si>
  <si>
    <t>Practical Software Project Estimation: A Toolkit for Estimating Software Development Effort &amp; Duration</t>
  </si>
  <si>
    <t>Peter R. Hill</t>
  </si>
  <si>
    <t>https://www.accessengineeringlibrary.com/content/book/9780071717915</t>
  </si>
  <si>
    <t>Foundation Engineering Handbook: Design and Construction with the 2009 International Building Code, Second Edition</t>
  </si>
  <si>
    <t>Structural engineering | Geotechnical engineering | Geological engineering</t>
  </si>
  <si>
    <t>https://www.accessengineeringlibrary.com/content/book/9780071740098</t>
  </si>
  <si>
    <t>Mechanisms and Mechanical Devices Sourcebook, Fifth Edition</t>
  </si>
  <si>
    <t>Machine design | Power engineering</t>
  </si>
  <si>
    <t>https://www.accessengineeringlibrary.com/content/book/9780071704427</t>
  </si>
  <si>
    <t>Perfect Phrases for Performance Reviews 2/E</t>
  </si>
  <si>
    <t>Douglas Max</t>
  </si>
  <si>
    <t>Business communication | Business management | Human resource management</t>
  </si>
  <si>
    <t>https://www.accessengineeringlibrary.com/content/book/9780071745079</t>
  </si>
  <si>
    <t>Geothermal HVAC: Green Heating and Cooling</t>
  </si>
  <si>
    <t>Jay Egg</t>
  </si>
  <si>
    <t>Â©2011</t>
  </si>
  <si>
    <t>Heating ventilation and air conditioning | Mechanical thermodynamics | Chemical thermodynamics</t>
  </si>
  <si>
    <t>https://www.accessengineeringlibrary.com/content/book/9780071746106</t>
  </si>
  <si>
    <t>CNC Programming Using Fanuc Custom Macro B</t>
  </si>
  <si>
    <t>S. K. Sinha</t>
  </si>
  <si>
    <t>Â©2010</t>
  </si>
  <si>
    <t>https://www.accessengineeringlibrary.com/content/book/9780071713320</t>
  </si>
  <si>
    <t>Membrane Bioreactors: WEF Manual of Practice No. 36</t>
  </si>
  <si>
    <t>Waste engineering | Wastewater engineering | Biochemical engineering</t>
  </si>
  <si>
    <t>https://www.accessengineeringlibrary.com/content/book/9780071753661</t>
  </si>
  <si>
    <t>Alternative Water Sources and Wastewater Management</t>
  </si>
  <si>
    <t>E. W. "Bob" Boulware</t>
  </si>
  <si>
    <t>https://www.accessengineeringlibrary.com/content/book/9780071719513</t>
  </si>
  <si>
    <t>Airport Planning and Management, Sixth Edition</t>
  </si>
  <si>
    <t>Seth B. Young, Ph.D.</t>
  </si>
  <si>
    <t>https://www.accessengineeringlibrary.com/content/book/9780071750240</t>
  </si>
  <si>
    <t>Geometric Dimensioning and Tolerancing for Mechanical Design, Second Edition</t>
  </si>
  <si>
    <t>Gene R. Cogorno</t>
  </si>
  <si>
    <t>https://www.accessengineeringlibrary.com/content/book/9780071772129</t>
  </si>
  <si>
    <t>Process Equipment Malfunctions: Techniques to Identify and Correct Plant Problems</t>
  </si>
  <si>
    <t>Norman P. Lieberman</t>
  </si>
  <si>
    <t>https://www.accessengineeringlibrary.com/content/book/9780071770200</t>
  </si>
  <si>
    <t>Electrical Power Systems Quality, Third Edition</t>
  </si>
  <si>
    <t>Surya Santoso, Ph.D.</t>
  </si>
  <si>
    <t>Power engineering | Solid mechanics | Electronics engineering</t>
  </si>
  <si>
    <t>https://www.accessengineeringlibrary.com/content/book/9780071761550</t>
  </si>
  <si>
    <t>Strategic Lean Mapping: Blending Improvement Processes for the Perfect Solution</t>
  </si>
  <si>
    <t>Steve Borris</t>
  </si>
  <si>
    <t>Production engineering | Quality engineering | Quality management</t>
  </si>
  <si>
    <t>https://www.accessengineeringlibrary.com/content/book/9780071788557</t>
  </si>
  <si>
    <t>Structural Engineering Formulas, Second Edition</t>
  </si>
  <si>
    <t>Ilya Mikhelson, Ph.D.</t>
  </si>
  <si>
    <t>Structural engineering | Solid mechanics</t>
  </si>
  <si>
    <t>https://www.accessengineeringlibrary.com/content/book/9780071794282</t>
  </si>
  <si>
    <t>Civil Engineering PE Practice Exams: Breadth and Depth</t>
  </si>
  <si>
    <t>Dr. Indranil Goswami</t>
  </si>
  <si>
    <t>https://www.accessengineeringlibrary.com/content/book/9780071777117</t>
  </si>
  <si>
    <t>Toyota Way to Lean Leadership: Achieving and Sustaining Excellence through Leadership Development</t>
  </si>
  <si>
    <t>Leadership | Quality engineering | Quality management</t>
  </si>
  <si>
    <t>https://www.accessengineeringlibrary.com/content/book/9780071780780</t>
  </si>
  <si>
    <t>Essential Deming: Leadership Principles from the Father of Quality</t>
  </si>
  <si>
    <t>JOYCE NILSSON ORSINI, PhD</t>
  </si>
  <si>
    <t>https://www.accessengineeringlibrary.com/content/book/9780071790222</t>
  </si>
  <si>
    <t>Lean Maintenance Repair and Overhaul: Changing the Way You Do Business</t>
  </si>
  <si>
    <t>Mandyam M. Srinivasan, Ph.D.</t>
  </si>
  <si>
    <t>Maintenance engineering | Power engineering | Operations management</t>
  </si>
  <si>
    <t>https://www.accessengineeringlibrary.com/content/book/9780071789943</t>
  </si>
  <si>
    <t>Elements of Photogrammetry with Applications in GIS, Fourth Edition</t>
  </si>
  <si>
    <t>Paul R. Wolf, Ph.D.</t>
  </si>
  <si>
    <t>https://www.accessengineeringlibrary.com/content/book/9780071761123</t>
  </si>
  <si>
    <t>Handbook of Chemical Engineering Calculations, Fourth Edition</t>
  </si>
  <si>
    <t>Chemical engineering</t>
  </si>
  <si>
    <t>https://www.accessengineeringlibrary.com/content/book/9780071768047</t>
  </si>
  <si>
    <t>Schaum's Outline of Calculus, Sixth Edition</t>
  </si>
  <si>
    <t>Frank Ayres Jr., PhD</t>
  </si>
  <si>
    <t>https://www.accessengineeringlibrary.com/content/book/9780071795531</t>
  </si>
  <si>
    <t>Practical Electronics for Inventors, Third Edition</t>
  </si>
  <si>
    <t>Paul Scherz</t>
  </si>
  <si>
    <t>https://www.accessengineeringlibrary.com/content/book/9780071771337</t>
  </si>
  <si>
    <t>TAB Book of Arduino Projects: 36 Things to Make with Shields and Protoshields</t>
  </si>
  <si>
    <t>https://www.accessengineeringlibrary.com/content/book/9780071790673</t>
  </si>
  <si>
    <t>Quality Improvement Through Planned Experimentation, Third Edition</t>
  </si>
  <si>
    <t>Ronald D. Moen</t>
  </si>
  <si>
    <t>Quality engineering | Quality management | Materials applications</t>
  </si>
  <si>
    <t>https://www.accessengineeringlibrary.com/content/book/9780071759663</t>
  </si>
  <si>
    <t>McGraw-Hill's National Electrical Safety Code (NESC) 2012 Handbook</t>
  </si>
  <si>
    <t>David J. Marne, P.E., B.S.E.E.</t>
  </si>
  <si>
    <t>https://www.accessengineeringlibrary.com/content/book/9780071766852</t>
  </si>
  <si>
    <t>Standard Handbook for Electrical Engineers, Sixteenth Edition</t>
  </si>
  <si>
    <t>https://www.accessengineeringlibrary.com/content/book/9780071762328</t>
  </si>
  <si>
    <t>Strategic Continuous Process Improvement: Which Quality Tools to Use and When to Use Them</t>
  </si>
  <si>
    <t>Gerhard Plenert, Ph.D., CPIM</t>
  </si>
  <si>
    <t>https://www.accessengineeringlibrary.com/content/book/9780071767187</t>
  </si>
  <si>
    <t>Organic Chemistry, Second edition</t>
  </si>
  <si>
    <t>Daniel R. Bloch</t>
  </si>
  <si>
    <t>https://www.accessengineeringlibrary.com/content/book/9780071767972</t>
  </si>
  <si>
    <t>Smart Grid Infrastructure &amp; Networking</t>
  </si>
  <si>
    <t>https://www.accessengineeringlibrary.com/content/book/9780071787741</t>
  </si>
  <si>
    <t>Mechatronics in Medicine: A Biomedical Engineering Approach</t>
  </si>
  <si>
    <t>Electronics engineering | Mechatronics | Machine design</t>
  </si>
  <si>
    <t>https://www.accessengineeringlibrary.com/content/book/9780071768962</t>
  </si>
  <si>
    <t>Large-Scale Solar Power System Design: An Engineering Guide for Grid-Connected Solar Power Generation</t>
  </si>
  <si>
    <t>https://www.accessengineeringlibrary.com/content/book/9780071763271</t>
  </si>
  <si>
    <t>Principles of Metal Casting, Third Edition</t>
  </si>
  <si>
    <t>Mahi Sahoo, Ph.D.</t>
  </si>
  <si>
    <t>Materials applications | Materials | Production engineering</t>
  </si>
  <si>
    <t>https://www.accessengineeringlibrary.com/content/book/9780071789752</t>
  </si>
  <si>
    <t>Programming Arduino: Getting Started with Sketches</t>
  </si>
  <si>
    <t>https://www.accessengineeringlibrary.com/content/book/9780071784221</t>
  </si>
  <si>
    <t>Geotechnical Engineer's Portable Handbook, Second Edition</t>
  </si>
  <si>
    <t>https://www.accessengineeringlibrary.com/content/book/9780071789714</t>
  </si>
  <si>
    <t>Maintenance Planning and Scheduling Handbook, Third Edition</t>
  </si>
  <si>
    <t>Richard D. Palmer</t>
  </si>
  <si>
    <t>https://www.accessengineeringlibrary.com/content/book/9780071784115</t>
  </si>
  <si>
    <t>Global Supply Chains: Evaluating Regions on an EPIC Frameworkâ€”Economy, Politics, Infrastructure, and Competence</t>
  </si>
  <si>
    <t>Mandyam M. (Srini) Srinivasan, Ph.D.</t>
  </si>
  <si>
    <t>https://www.accessengineeringlibrary.com/content/book/9780071792318</t>
  </si>
  <si>
    <t>Lean Supply Chain and Logistics Management</t>
  </si>
  <si>
    <t>Paul Myerson</t>
  </si>
  <si>
    <t>Operations management | Production engineering</t>
  </si>
  <si>
    <t>https://www.accessengineeringlibrary.com/content/book/9780071766265</t>
  </si>
  <si>
    <t>Masonry Design and Detailing, Sixth Edition</t>
  </si>
  <si>
    <t>Christine Beall, NCARB, CCS</t>
  </si>
  <si>
    <t>https://www.accessengineeringlibrary.com/content/book/9780071766395</t>
  </si>
  <si>
    <t>Arduino + Android Projects for the Evil Genius: Control Arduino with Your Smartphone or Tablet</t>
  </si>
  <si>
    <t>https://www.accessengineeringlibrary.com/content/book/9780071775960</t>
  </si>
  <si>
    <t>Commercial Aviation Safety, Fifth Edition</t>
  </si>
  <si>
    <t>Clarence C. Rodrigues, Ph.D., PE, CSP, CPE</t>
  </si>
  <si>
    <t>https://www.accessengineeringlibrary.com/content/book/9780071763059</t>
  </si>
  <si>
    <t>One Simple Idea: Turn Your Dreams into a Licensing Goldmine While Letting Others Do the Work</t>
  </si>
  <si>
    <t>Stephen Key</t>
  </si>
  <si>
    <t>https://www.accessengineeringlibrary.com/content/book/9780071756150</t>
  </si>
  <si>
    <t>Forensic Geotechnical and Foundation Engineering, Second Edition</t>
  </si>
  <si>
    <t>https://www.accessengineeringlibrary.com/content/book/9780071761338</t>
  </si>
  <si>
    <t>Manager's Guide to Business Writing, Second Edition</t>
  </si>
  <si>
    <t>Suzanne Sparks FitzGerald</t>
  </si>
  <si>
    <t>https://www.accessengineeringlibrary.com/content/book/9780071772266</t>
  </si>
  <si>
    <t>Handbook of Nondestructive Evaluation, Second Edition</t>
  </si>
  <si>
    <t>Charles J. Hellier</t>
  </si>
  <si>
    <t>https://www.accessengineeringlibrary.com/content/book/9780071777148</t>
  </si>
  <si>
    <t>Lean Six Sigma for Supply Chain Management: A 10-Step Solution Process, Second Edition</t>
  </si>
  <si>
    <t>James William Martin</t>
  </si>
  <si>
    <t>Operations management | Process engineering | Quality engineering</t>
  </si>
  <si>
    <t>https://www.accessengineeringlibrary.com/content/book/9780071793056</t>
  </si>
  <si>
    <t>Quantum Mechanics Demystified, Second Edition</t>
  </si>
  <si>
    <t>David McMahon</t>
  </si>
  <si>
    <t>https://www.accessengineeringlibrary.com/content/book/9780071765633</t>
  </si>
  <si>
    <t>Civil Engineering All-In-One PE Exam Guide: Breadth and Depth, Second Edition</t>
  </si>
  <si>
    <t>Indranil Goswami</t>
  </si>
  <si>
    <t>https://www.accessengineeringlibrary.com/content/book/9780071787727</t>
  </si>
  <si>
    <t>Compressors: How to Achieve High Reliability &amp; Availability</t>
  </si>
  <si>
    <t>https://www.accessengineeringlibrary.com/content/book/9780071772877</t>
  </si>
  <si>
    <t>Oil Spills and Gas Leaks: Environmental Response, Prevention, and Cost Recovery</t>
  </si>
  <si>
    <t>Stephen M. Testa</t>
  </si>
  <si>
    <t>Safety engineering | Petroleum engineering | Fuels</t>
  </si>
  <si>
    <t>https://www.accessengineeringlibrary.com/content/book/9780071772891</t>
  </si>
  <si>
    <t>Schaum's Outline of Linear Algebra, Fifth Edition</t>
  </si>
  <si>
    <t>Seymour Lipschutz</t>
  </si>
  <si>
    <t>https://www.accessengineeringlibrary.com/content/book/9780071794565</t>
  </si>
  <si>
    <t>Manager's Guide to Navigating Change</t>
  </si>
  <si>
    <t>Stephen Rock</t>
  </si>
  <si>
    <t>https://www.accessengineeringlibrary.com/content/book/9780071769471</t>
  </si>
  <si>
    <t>Effective Coaching, Second Edition</t>
  </si>
  <si>
    <t>Marshall J. Cook</t>
  </si>
  <si>
    <t>https://www.accessengineeringlibrary.com/content/book/9780071771115</t>
  </si>
  <si>
    <t>Electrical Design of Overhead Power Transmission Lines</t>
  </si>
  <si>
    <t>Masoud Farzaneh, Ph.D.</t>
  </si>
  <si>
    <t>https://www.accessengineeringlibrary.com/content/book/9780071771917</t>
  </si>
  <si>
    <t>Geotechnical Earthquake Engineering Handbook: With the 2012 International Building Code, Second Edition</t>
  </si>
  <si>
    <t>https://www.accessengineeringlibrary.com/content/book/9780071792387</t>
  </si>
  <si>
    <t>Schaum's Outline of Geometry, Fifth Edition</t>
  </si>
  <si>
    <t>Barnett Rich</t>
  </si>
  <si>
    <t>https://www.accessengineeringlibrary.com/content/book/9780071795401</t>
  </si>
  <si>
    <t>Airport Operations, Third Edition</t>
  </si>
  <si>
    <t>Norman J. Ashford</t>
  </si>
  <si>
    <t>Infrastructure</t>
  </si>
  <si>
    <t>https://www.accessengineeringlibrary.com/content/book/9780071775847</t>
  </si>
  <si>
    <t>Thermal Science: Essentials of Thermodynamics, Fluid Mechanics, and Heat Transfer</t>
  </si>
  <si>
    <t>Erian A. Baskharone, Ph.D.</t>
  </si>
  <si>
    <t>Transport phenomena | Fluid mechanics | Mechanical thermodynamics</t>
  </si>
  <si>
    <t>https://www.accessengineeringlibrary.com/content/book/9780071772341</t>
  </si>
  <si>
    <t>Alternative Energy DeMYSTiFieD, Second Edition</t>
  </si>
  <si>
    <t>Power engineering | Fuels | Sustainability</t>
  </si>
  <si>
    <t>https://www.accessengineeringlibrary.com/content/book/9780071794336</t>
  </si>
  <si>
    <t>Airport Systems: Planning, Design, and Management, Second Edition</t>
  </si>
  <si>
    <t>Dr. Richard de Neufville</t>
  </si>
  <si>
    <t>https://www.accessengineeringlibrary.com/content/book/9780071770583</t>
  </si>
  <si>
    <t>Facilities Site Piping Systems Handbook</t>
  </si>
  <si>
    <t>Michael Frankel, CIPE, CPD</t>
  </si>
  <si>
    <t>Water resources engineering | Sustainability | Construction engineering</t>
  </si>
  <si>
    <t>https://www.accessengineeringlibrary.com/content/book/9780071760270</t>
  </si>
  <si>
    <t>Schaum's Outline of Trigonometry, Fifth Edition</t>
  </si>
  <si>
    <t>Robert E. Moyer</t>
  </si>
  <si>
    <t>https://www.accessengineeringlibrary.com/content/book/9780071795357</t>
  </si>
  <si>
    <t>Structural Fire Loads: Theory and Principles</t>
  </si>
  <si>
    <t>Leo Razdolsky, Ph.D., P.E., S.E.</t>
  </si>
  <si>
    <t>Safety engineering | Mechanical thermodynamics | Chemical process safety</t>
  </si>
  <si>
    <t>https://www.accessengineeringlibrary.com/content/book/9780071789738</t>
  </si>
  <si>
    <t>Troubleshooting and Repairing Major Appliances, Third Edition</t>
  </si>
  <si>
    <t>Eric Kleinert</t>
  </si>
  <si>
    <t>Electronics engineering | Thermal engineering | Power engineering</t>
  </si>
  <si>
    <t>https://www.accessengineeringlibrary.com/content/book/9780071770187</t>
  </si>
  <si>
    <t>Crucial Conversations Tools for Talking When Stakes Are High, Second Edition</t>
  </si>
  <si>
    <t>Kerry Patterson, Joseph Grenny, Ron McMillan, and Al Switzler</t>
  </si>
  <si>
    <t>https://www.accessengineeringlibrary.com/content/book/9780071771320</t>
  </si>
  <si>
    <t>Through-Silicon Vias for 3D Integration</t>
  </si>
  <si>
    <t>John H. Lau, Ph.D.</t>
  </si>
  <si>
    <t>Electronics engineering | Materials applications | Production engineering</t>
  </si>
  <si>
    <t>https://www.accessengineeringlibrary.com/content/book/9780071785143</t>
  </si>
  <si>
    <t>Energy Systems Engineering: Evaluation and Implementation, Second Edition</t>
  </si>
  <si>
    <t>Francis M. Vanek</t>
  </si>
  <si>
    <t>https://www.accessengineeringlibrary.com/content/book/9780071787789</t>
  </si>
  <si>
    <t>Structural Design of Low-Rise Buildings in Cold-Formed Steel, Reinforced Masonry, and Structural Timber</t>
  </si>
  <si>
    <t>J. R. Ubejd Mujagic, Ph.D., P.E., S.E.</t>
  </si>
  <si>
    <t>Structural engineering | Solid mechanics | Construction engineering</t>
  </si>
  <si>
    <t>https://www.accessengineeringlibrary.com/content/book/9780071767927</t>
  </si>
  <si>
    <t>Arduino Robot Bonanza</t>
  </si>
  <si>
    <t>Makerspace electronics | Makerspace robotics</t>
  </si>
  <si>
    <t>https://www.accessengineeringlibrary.com/content/book/9780071782777</t>
  </si>
  <si>
    <t>Distillation Control and Optimization: Operation Fundamentals through Software Control</t>
  </si>
  <si>
    <t>Alessandro Brambilla</t>
  </si>
  <si>
    <t>Chemical processing equipment | Quality engineering | Chemical processes</t>
  </si>
  <si>
    <t>https://www.accessengineeringlibrary.com/content/book/9780071820684</t>
  </si>
  <si>
    <t>American Electricians' Handbook, Sixteenth Edition</t>
  </si>
  <si>
    <t>Terrell Croft</t>
  </si>
  <si>
    <t>https://www.accessengineeringlibrary.com/content/book/9780071798808</t>
  </si>
  <si>
    <t>McGraw-Hill's National Electrical CodeÂ® 2014 Grounding and Earthing Handbook</t>
  </si>
  <si>
    <t>David R. Stockin</t>
  </si>
  <si>
    <t>Electronics engineering | Power engineering | Materials applications</t>
  </si>
  <si>
    <t>https://www.accessengineeringlibrary.com/content/book/9780071800655</t>
  </si>
  <si>
    <t>Schaum's Outline of College Chemistry, Tenth Edition</t>
  </si>
  <si>
    <t>Jerome L. Rosenberg</t>
  </si>
  <si>
    <t>https://www.accessengineeringlibrary.com/content/book/9780071810821</t>
  </si>
  <si>
    <t>Fiber Optic Installer's Field Manual, Second Edition</t>
  </si>
  <si>
    <t>https://www.accessengineeringlibrary.com/content/book/9780071818674</t>
  </si>
  <si>
    <t>Water and Wastewater Calculations Manual, Third Edition</t>
  </si>
  <si>
    <t>Shun Dar Lin, Ph.D.</t>
  </si>
  <si>
    <t>https://www.accessengineeringlibrary.com/content/book/9780071819817</t>
  </si>
  <si>
    <t>Concrete: Microstructure, Properties, and Materials, Fourth Edition</t>
  </si>
  <si>
    <t>P. Kumar Mehta, Ph.D.</t>
  </si>
  <si>
    <t>Materials | Construction engineering | Structural engineering</t>
  </si>
  <si>
    <t>https://www.accessengineeringlibrary.com/content/book/9780071797870</t>
  </si>
  <si>
    <t>Power Over Ethernet Interoperability</t>
  </si>
  <si>
    <t>Sanjaya Maniktala</t>
  </si>
  <si>
    <t>https://www.accessengineeringlibrary.com/content/book/9780071798259</t>
  </si>
  <si>
    <t>CNC Handbook</t>
  </si>
  <si>
    <t>Hans B. Kief</t>
  </si>
  <si>
    <t>https://www.accessengineeringlibrary.com/content/book/9780071799485</t>
  </si>
  <si>
    <t>Sustainable Transportation Systems Engineering</t>
  </si>
  <si>
    <t>Francis M. Vanek, Ph.D.</t>
  </si>
  <si>
    <t>Transportation engineering | Sustainability | Fuels</t>
  </si>
  <si>
    <t>https://www.accessengineeringlibrary.com/content/book/9780071800129</t>
  </si>
  <si>
    <t>Industrial Automation: Hands-On</t>
  </si>
  <si>
    <t>Frank Lamb</t>
  </si>
  <si>
    <t>Production engineering | Power engineering | Machine design</t>
  </si>
  <si>
    <t>https://www.accessengineeringlibrary.com/content/book/9780071816458</t>
  </si>
  <si>
    <t>2012 International Building CodeÂ® Handbook</t>
  </si>
  <si>
    <t>Douglas W. Thornburg, AIA</t>
  </si>
  <si>
    <t>Construction engineering | Structural engineering | Safety engineering</t>
  </si>
  <si>
    <t>https://www.accessengineeringlibrary.com/content/book/9780071801317</t>
  </si>
  <si>
    <t>Applied Fluid Mechanics for Engineers</t>
  </si>
  <si>
    <t>Meinhard T. Schobeiri, Ph.D.</t>
  </si>
  <si>
    <t>https://www.accessengineeringlibrary.com/content/book/9780071800044</t>
  </si>
  <si>
    <t>Handbook for Quality Management: A Complete Guide to Operational Excellence, Second Edition</t>
  </si>
  <si>
    <t>https://www.accessengineeringlibrary.com/content/book/9780071799249</t>
  </si>
  <si>
    <t>Public Infrastructure Asset Management, Second Edition</t>
  </si>
  <si>
    <t>Waheed Uddin</t>
  </si>
  <si>
    <t>Infrastructure | Engineering economics | Maintenance engineering</t>
  </si>
  <si>
    <t>https://www.accessengineeringlibrary.com/content/book/9780071820110</t>
  </si>
  <si>
    <t>Machine Tools: Specification, Purchase, and Installation</t>
  </si>
  <si>
    <t>Russell Gamblin</t>
  </si>
  <si>
    <t>Materials applications | Production engineering | Structural engineering</t>
  </si>
  <si>
    <t>https://www.accessengineeringlibrary.com/content/book/9780071812221</t>
  </si>
  <si>
    <t>Schaum's Outline of Organic Chemistry, Fifth Edition</t>
  </si>
  <si>
    <t>Herbert Meislich</t>
  </si>
  <si>
    <t>https://www.accessengineeringlibrary.com/content/book/9780071811118</t>
  </si>
  <si>
    <t>Make Your Own PCBs with EAGLE: From Schematic Designs to Finished Boards</t>
  </si>
  <si>
    <t>https://www.accessengineeringlibrary.com/content/book/9780071819251</t>
  </si>
  <si>
    <t>Schaum's Outline of Biology, Fourth Edition</t>
  </si>
  <si>
    <t>George H. Fried</t>
  </si>
  <si>
    <t>https://www.accessengineeringlibrary.com/content/book/9780071811309</t>
  </si>
  <si>
    <t>Nalco Guide to Cooling Water Systems Failure Analysis, Second Edition</t>
  </si>
  <si>
    <t>Nalco</t>
  </si>
  <si>
    <t>Materials applications | Material properties | Materials</t>
  </si>
  <si>
    <t>https://www.accessengineeringlibrary.com/content/book/9780071803472</t>
  </si>
  <si>
    <t>Build Your Own Transistor Radios: A Hobbyist's Guide to High-Performance and Low-Powered Radio Circuits</t>
  </si>
  <si>
    <t>Ronald Quan</t>
  </si>
  <si>
    <t>https://www.accessengineeringlibrary.com/content/book/9780071799706</t>
  </si>
  <si>
    <t>Perfect Phrases for Coaching Employee Performance: Hundreds of Ready-to-Use Phrases for Building Employee Engagement and Creating Star Performers</t>
  </si>
  <si>
    <t>Laura Poole</t>
  </si>
  <si>
    <t>https://www.accessengineeringlibrary.com/content/book/9780071809511</t>
  </si>
  <si>
    <t>Tall and Supertall Buildings: Planning and Design</t>
  </si>
  <si>
    <t>Akbar Tamboli, P.E., F.ASCE</t>
  </si>
  <si>
    <t>Structural engineering | Construction engineering | Geotechnical engineering</t>
  </si>
  <si>
    <t>https://www.accessengineeringlibrary.com/content/book/9780071818711</t>
  </si>
  <si>
    <t>Aircraft Basic Science, Eighth Edition</t>
  </si>
  <si>
    <t>Michael J. Kroes</t>
  </si>
  <si>
    <t>Aircraft | Power engineering | Materials</t>
  </si>
  <si>
    <t>https://www.accessengineeringlibrary.com/content/book/9780071799171</t>
  </si>
  <si>
    <t>Wastewater Treatment Process Modeling, MOP31, Second Edition</t>
  </si>
  <si>
    <t>Waste engineering | Wastewater engineering | Process engineering</t>
  </si>
  <si>
    <t>https://www.accessengineeringlibrary.com/content/book/9780071798426</t>
  </si>
  <si>
    <t>CATIA V5: Macro Programming with Visual Basic Script</t>
  </si>
  <si>
    <t>Dieter R. Ziethen</t>
  </si>
  <si>
    <t>https://www.accessengineeringlibrary.com/content/book/9780071800020</t>
  </si>
  <si>
    <t>Programming the Raspberry Pi: Getting Started with Python</t>
  </si>
  <si>
    <t>https://www.accessengineeringlibrary.com/content/book/9780071807838</t>
  </si>
  <si>
    <t>Industrial Chemical Process Design, Second Edition</t>
  </si>
  <si>
    <t>Douglas L. Erwin, P.E.</t>
  </si>
  <si>
    <t>Transport phenomena | Fluid mechanics | Chemical processes</t>
  </si>
  <si>
    <t>https://www.accessengineeringlibrary.com/content/book/9780071819800</t>
  </si>
  <si>
    <t>Wireless Networks: Design and Integration for LTE, EVDO, HSPA, and WiMAX, Third Edition</t>
  </si>
  <si>
    <t>Clint Smith, P.E.</t>
  </si>
  <si>
    <t>https://www.accessengineeringlibrary.com/content/book/9780071819831</t>
  </si>
  <si>
    <t>Analog Filter and Circuit Design Handbook</t>
  </si>
  <si>
    <t>https://www.accessengineeringlibrary.com/content/book/9780071816717</t>
  </si>
  <si>
    <t>Power Plant Stability, Capacitors, and Grounding: Numerical Solutions</t>
  </si>
  <si>
    <t>Orlando N. Acosta, MSEE</t>
  </si>
  <si>
    <t>https://www.accessengineeringlibrary.com/content/book/9780071800082</t>
  </si>
  <si>
    <t>Fundamentals of Radar Signal Processing, Second Edition</t>
  </si>
  <si>
    <t>Mark A. Richards, Ph.D.</t>
  </si>
  <si>
    <t>https://www.accessengineeringlibrary.com/content/book/9780071798327</t>
  </si>
  <si>
    <t>What Every Angel Investor Wants You to Know: An Insider Reveals How to Get Smart Funding for Your Billion-Dollar Idea</t>
  </si>
  <si>
    <t>BRIAN S. COHEN</t>
  </si>
  <si>
    <t>Entrepreneurship | Finance</t>
  </si>
  <si>
    <t>https://www.accessengineeringlibrary.com/content/book/9780071800716</t>
  </si>
  <si>
    <t>Plant Equipment and Maintenance Engineering Handbook</t>
  </si>
  <si>
    <t>Duncan C. Richardson, PE</t>
  </si>
  <si>
    <t>https://www.accessengineeringlibrary.com/content/book/9780071809894</t>
  </si>
  <si>
    <t>Engineering Project Management for the Global High-Technology Industry</t>
  </si>
  <si>
    <t>Sammy G. Shina, Ph.D., P.E.</t>
  </si>
  <si>
    <t>https://www.accessengineeringlibrary.com/content/book/9780071815369</t>
  </si>
  <si>
    <t>Product Manager's Survival Guide: Everything You Need to Know to Succeed as a Product Manager</t>
  </si>
  <si>
    <t>Steven Haines</t>
  </si>
  <si>
    <t>https://www.accessengineeringlibrary.com/content/book/9780071805469</t>
  </si>
  <si>
    <t>Aircraft Maintenance &amp;  Repair, Seventh Edition</t>
  </si>
  <si>
    <t>https://www.accessengineeringlibrary.com/content/book/9780071801508</t>
  </si>
  <si>
    <t>30 Arduino Projects for the Evil Genius, Second Edition</t>
  </si>
  <si>
    <t>https://www.accessengineeringlibrary.com/content/book/9780071817721</t>
  </si>
  <si>
    <t>Schaum's Outline of Human Anatomy and Physiology, Fourth Edition</t>
  </si>
  <si>
    <t>The late Kent M. Van de Graaff</t>
  </si>
  <si>
    <t>https://www.accessengineeringlibrary.com/content/book/9780071810791</t>
  </si>
  <si>
    <t>Strategic Supply Chain Management: The Five Disciplines for Top Performance, Second Edition</t>
  </si>
  <si>
    <t>Shoshanah Cohen</t>
  </si>
  <si>
    <t>https://www.accessengineeringlibrary.com/content/book/9780071813082</t>
  </si>
  <si>
    <t>Closed Feedwater Heaters for Power Generation: A Working Guide</t>
  </si>
  <si>
    <t>Stanley Yokell</t>
  </si>
  <si>
    <t>Infrastructure | Power engineering | Quality engineering</t>
  </si>
  <si>
    <t>https://www.accessengineeringlibrary.com/content/book/9780071812894</t>
  </si>
  <si>
    <t>Aviation Maintenance Management, Second Edition</t>
  </si>
  <si>
    <t>Harry A. Kinnison, Ph.D.</t>
  </si>
  <si>
    <t>Aircraft | Quality engineering | Maintenance engineering</t>
  </si>
  <si>
    <t>https://www.accessengineeringlibrary.com/content/book/9780071805025</t>
  </si>
  <si>
    <t>Microchip Fabrication, Sixth Edition</t>
  </si>
  <si>
    <t>https://www.accessengineeringlibrary.com/content/book/9780071821018</t>
  </si>
  <si>
    <t>Engineering Problem-Solving 101: Time-Tested and Timeless Techniques</t>
  </si>
  <si>
    <t>Robert W. Messler, Jr.</t>
  </si>
  <si>
    <t>Engineering problem solving</t>
  </si>
  <si>
    <t>https://www.accessengineeringlibrary.com/content/book/9780071799966</t>
  </si>
  <si>
    <t>Aircraft Electricity and Electronics, Sixth Edition</t>
  </si>
  <si>
    <t>Thomas K. Eismin</t>
  </si>
  <si>
    <t>https://www.accessengineeringlibrary.com/content/book/9780071799157</t>
  </si>
  <si>
    <t>Schaum's Outline of Physics for Engineering and Science, Third Edition</t>
  </si>
  <si>
    <t>Michael Browne</t>
  </si>
  <si>
    <t>https://www.accessengineeringlibrary.com/content/book/9780071810906</t>
  </si>
  <si>
    <t>Hacking Electronics: An Illustrated DIY Guide for Makers and Hobbyists</t>
  </si>
  <si>
    <t>https://www.accessengineeringlibrary.com/content/book/9780071802369</t>
  </si>
  <si>
    <t>Switching Power Supply Design &amp; Optimization, Second Edition</t>
  </si>
  <si>
    <t>https://www.accessengineeringlibrary.com/content/book/9780071798143</t>
  </si>
  <si>
    <t>Expanders for Oil and Gas Operations: Design, Applications, and Troubleshooting</t>
  </si>
  <si>
    <t>Murari P. Singh, Ph.D.</t>
  </si>
  <si>
    <t>https://www.accessengineeringlibrary.com/content/book/9780071799928</t>
  </si>
  <si>
    <t>Raspberry PiÂ® Projects for the Evil Genius</t>
  </si>
  <si>
    <t>Donald Norris</t>
  </si>
  <si>
    <t>https://www.accessengineeringlibrary.com/content/book/9780071821582</t>
  </si>
  <si>
    <t>Schaum's Outline of Probability and Statistics, Fourth Edition</t>
  </si>
  <si>
    <t>Murray R. Spiegel</t>
  </si>
  <si>
    <t>Statistics</t>
  </si>
  <si>
    <t>https://www.accessengineeringlibrary.com/content/book/9780071795579</t>
  </si>
  <si>
    <t>Supply Chain Management Demystified</t>
  </si>
  <si>
    <t>John M. McKeller</t>
  </si>
  <si>
    <t>https://www.accessengineeringlibrary.com/content/book/9780071805124</t>
  </si>
  <si>
    <t>Process Improvement Handbook: A Blueprint for Managing Change and Increasing Organizational Performance</t>
  </si>
  <si>
    <t>Tristan Boutros</t>
  </si>
  <si>
    <t>https://www.accessengineeringlibrary.com/content/book/9780071817660</t>
  </si>
  <si>
    <t>Electronic Troubleshooting, Fourth Edition</t>
  </si>
  <si>
    <t>Daniel R. Tomal, Ph.D.</t>
  </si>
  <si>
    <t>Electronics engineering | Power engineering | Computer hardware</t>
  </si>
  <si>
    <t>https://www.accessengineeringlibrary.com/content/book/9780071819909</t>
  </si>
  <si>
    <t>Demand Driven Performance: Using Smart Metrics</t>
  </si>
  <si>
    <t>Debra A. Smith, CPA, EMBA</t>
  </si>
  <si>
    <t>Business analysis</t>
  </si>
  <si>
    <t>https://www.accessengineeringlibrary.com/content/book/9780071796095</t>
  </si>
  <si>
    <t>Handbook of Project-Based Management: Leading Strategic Change in Organizations, Fourth Edition</t>
  </si>
  <si>
    <t>Rodney Turner</t>
  </si>
  <si>
    <t>https://www.accessengineeringlibrary.com/content/book/9780071821780</t>
  </si>
  <si>
    <t>Schaum's Outline of Differential Equations, Fourth Edition</t>
  </si>
  <si>
    <t>Richard Bronson, Ph.D.</t>
  </si>
  <si>
    <t>https://www.accessengineeringlibrary.com/content/book/9780071824859</t>
  </si>
  <si>
    <t>Maintenance Engineering Handbook, Eighth Edition</t>
  </si>
  <si>
    <t>R. Keith Mobley, MBB, CMRP</t>
  </si>
  <si>
    <t>Power engineering | Machine design | Maintenance engineering</t>
  </si>
  <si>
    <t>https://www.accessengineeringlibrary.com/content/book/9780071826617</t>
  </si>
  <si>
    <t>Breakthrough Improvement with QI Macros and ExcelÂ®: Finding the Invisible Low-Hanging Fruit</t>
  </si>
  <si>
    <t>https://www.accessengineeringlibrary.com/content/book/9780071822831</t>
  </si>
  <si>
    <t>HVAC Equations, Data, and Rules of Thumb, Third Edition</t>
  </si>
  <si>
    <t>Arthur A. Bell, Jr., PE</t>
  </si>
  <si>
    <t>Transport phenomena | Pressure vessels and piping | Fluid mechanics</t>
  </si>
  <si>
    <t>https://www.accessengineeringlibrary.com/content/book/9780071829595</t>
  </si>
  <si>
    <t>Environmental Nanotechnology: Applications and Impacts of Nanomaterials, Second Edition</t>
  </si>
  <si>
    <t>Materials</t>
  </si>
  <si>
    <t>https://www.accessengineeringlibrary.com/content/book/9780071828444</t>
  </si>
  <si>
    <t>Programming the BeagleBone Black: Getting Started with JavaScript and BoneScript</t>
  </si>
  <si>
    <t>Dr. Simon Monk (Preston, UK)</t>
  </si>
  <si>
    <t>https://www.accessengineeringlibrary.com/content/book/9780071832120</t>
  </si>
  <si>
    <t>Analog IC Design with Low-Dropout Regulators, Second Edition</t>
  </si>
  <si>
    <t>Gabriel Alfonso Rincon-Mora (B.S., M.S., Ph.D.)</t>
  </si>
  <si>
    <t>https://www.accessengineeringlibrary.com/content/book/9780071826631</t>
  </si>
  <si>
    <t>3D Printing with Autodesk 123DÂ®, TinkercadÂ®, and MakerBotÂ®</t>
  </si>
  <si>
    <t>Lydia Sloan Cline</t>
  </si>
  <si>
    <t>Makerspace fabrication</t>
  </si>
  <si>
    <t>https://www.accessengineeringlibrary.com/content/book/9780071833479</t>
  </si>
  <si>
    <t>Aircraft Materials and Analysis</t>
  </si>
  <si>
    <t>Tariq Siddiqui</t>
  </si>
  <si>
    <t>Materials applications | Aircraft | Solid mechanics</t>
  </si>
  <si>
    <t>https://www.accessengineeringlibrary.com/content/book/9780071831130</t>
  </si>
  <si>
    <t>Schaum's Outline of College Algebra, 4th Edition</t>
  </si>
  <si>
    <t>Murray R. Spiegel, Ph.D.</t>
  </si>
  <si>
    <t>https://www.accessengineeringlibrary.com/content/book/9780071821810</t>
  </si>
  <si>
    <t>Product Manager's Desk Reference, Second Edition</t>
  </si>
  <si>
    <t>Product management | Marketing</t>
  </si>
  <si>
    <t>https://www.accessengineeringlibrary.com/content/book/9780071824507</t>
  </si>
  <si>
    <t>Engineering Green Chemical Processes: Renewable and Sustainable Design</t>
  </si>
  <si>
    <t>Thomas F. DeRosa, Ph.D.</t>
  </si>
  <si>
    <t>Fuels | Materials | Product management</t>
  </si>
  <si>
    <t>https://www.accessengineeringlibrary.com/content/book/9780071826686</t>
  </si>
  <si>
    <t>Handbook of Electric Power Calculations, Fourth Edition</t>
  </si>
  <si>
    <t>https://www.accessengineeringlibrary.com/content/book/9780071823906</t>
  </si>
  <si>
    <t>RF and Microwave Power Amplifier Design, Second Edition</t>
  </si>
  <si>
    <t>Andrei Grebennikov, Ph.D.</t>
  </si>
  <si>
    <t>https://www.accessengineeringlibrary.com/content/book/9780071828628</t>
  </si>
  <si>
    <t>Entrepreneurial Finance, Third Edition: Finance and Business Strategies for the Serious Entrepreneur</t>
  </si>
  <si>
    <t>Steven Rogers</t>
  </si>
  <si>
    <t>Entrepreneurship | Finance | Engineering economics</t>
  </si>
  <si>
    <t>https://www.accessengineeringlibrary.com/content/book/9780071825399</t>
  </si>
  <si>
    <t>HVAC and Refrigeration Preventive Maintenance</t>
  </si>
  <si>
    <t>Heating ventilation and air conditioning | Thermal engineering | Maintenance engineering</t>
  </si>
  <si>
    <t>https://www.accessengineeringlibrary.com/content/book/9780071825658</t>
  </si>
  <si>
    <t>Schaum's Outline of Thermodynamics for Engineers, Third Edition</t>
  </si>
  <si>
    <t>Merle C. Potter, PhD</t>
  </si>
  <si>
    <t>https://www.accessengineeringlibrary.com/content/book/9780071830829</t>
  </si>
  <si>
    <t>Creating a Kaizen Culture: Align the Organization, Achieve Breakthrough Results, and Sustain the Gains</t>
  </si>
  <si>
    <t>Jon Miller</t>
  </si>
  <si>
    <t>https://www.accessengineeringlibrary.com/content/book/9780071826853</t>
  </si>
  <si>
    <t>Flood Scour for Bridges and Highways: Prevention and Control of Soil Erosion</t>
  </si>
  <si>
    <t>Mohiuddin Ali Khan, Ph.D., P.E.</t>
  </si>
  <si>
    <t>Infrastructure | Water resources engineering | Sustainability</t>
  </si>
  <si>
    <t>https://www.accessengineeringlibrary.com/content/book/9780071825078</t>
  </si>
  <si>
    <t>Programming Arduino Next Steps: Going Further with Sketches</t>
  </si>
  <si>
    <t>https://www.accessengineeringlibrary.com/content/book/9780071830256</t>
  </si>
  <si>
    <t>Factory Physics for Managers: How Leaders Improve Performance in a Postâ€“Lean Six Sigma World</t>
  </si>
  <si>
    <t>Edward S. Pound</t>
  </si>
  <si>
    <t>Production engineering | Process engineering | Finance</t>
  </si>
  <si>
    <t>https://www.accessengineeringlibrary.com/content/book/9780071822503</t>
  </si>
  <si>
    <t>Power Integrity: Measuring, Optimizing, and Troubleshooting Power Related Parameters in Electronics Systems</t>
  </si>
  <si>
    <t>Steven M. Sandler</t>
  </si>
  <si>
    <t>Electronics engineering | Power engineering | Signal processing</t>
  </si>
  <si>
    <t>https://www.accessengineeringlibrary.com/content/book/9780071830997</t>
  </si>
  <si>
    <t>Smart Antennas with MATLABÂ®, Second Edition</t>
  </si>
  <si>
    <t>Frank B. Gross, Ph.D.</t>
  </si>
  <si>
    <t>https://www.accessengineeringlibrary.com/content/book/9780071822381</t>
  </si>
  <si>
    <t>Printed Circuits Handbook, Seventh Edition</t>
  </si>
  <si>
    <t>https://www.accessengineeringlibrary.com/content/book/9780071833950</t>
  </si>
  <si>
    <t>SBE Broadcast Engineering Handbook: Hands-On Guide to Station Design and Maintenance</t>
  </si>
  <si>
    <t>https://www.accessengineeringlibrary.com/content/book/9780071826266</t>
  </si>
  <si>
    <t>Telecommunications Crash Course, Third Edition</t>
  </si>
  <si>
    <t>Steven Shepard, Ph.D.</t>
  </si>
  <si>
    <t>Communications engineering | Information technology | Computer networks</t>
  </si>
  <si>
    <t>https://www.accessengineeringlibrary.com/content/book/9780071832663</t>
  </si>
  <si>
    <t>Metal Building Systems: Design and Specifications, Third Edition</t>
  </si>
  <si>
    <t>Alexander Newman, P.E., F.ASCE</t>
  </si>
  <si>
    <t>https://www.accessengineeringlibrary.com/content/book/9780071828963</t>
  </si>
  <si>
    <t>Reverse Engineering: Mechanisms, Structures, Systems &amp; Materials</t>
  </si>
  <si>
    <t>Robert W. Messler, Jr., Ph.D., FASM, FAWS</t>
  </si>
  <si>
    <t>Reverse engineering | Production engineering | Materials applications</t>
  </si>
  <si>
    <t>https://www.accessengineeringlibrary.com/content/book/9780071825160</t>
  </si>
  <si>
    <t>Schaum's Outline of Fluid Mechanics and Hydraulics, Fourth Edition</t>
  </si>
  <si>
    <t>Ranald V. Giles</t>
  </si>
  <si>
    <t>Fluid mechanics | Transport phenomena</t>
  </si>
  <si>
    <t>https://www.accessengineeringlibrary.com/content/book/9780071831451</t>
  </si>
  <si>
    <t>Construction Operations Manual of Policies and Procedures, Fifth Edition</t>
  </si>
  <si>
    <t>Construction management | Project management | Operations management</t>
  </si>
  <si>
    <t>https://www.accessengineeringlibrary.com/content/book/9780071826945</t>
  </si>
  <si>
    <t>Schaum's Outline of Electric Circuits, Sixth Edition</t>
  </si>
  <si>
    <t>Mahmood Nahvi, PhD</t>
  </si>
  <si>
    <t>https://www.accessengineeringlibrary.com/content/book/9780071830454</t>
  </si>
  <si>
    <t>Carrier-Grade VoIP, Third Edition</t>
  </si>
  <si>
    <t>Richard Swale</t>
  </si>
  <si>
    <t>https://www.accessengineeringlibrary.com/content/book/9780071826600</t>
  </si>
  <si>
    <t>Nanoelectronic Mixed-Signal System Design</t>
  </si>
  <si>
    <t>Saraju P. Mohanty, Ph.D.</t>
  </si>
  <si>
    <t>https://www.accessengineeringlibrary.com/content/book/9780071825719</t>
  </si>
  <si>
    <t>MATLAB Numerical Methods with Chemical Engineering Applications</t>
  </si>
  <si>
    <t>Kamal I. M. Al-Malah, Ph.D.</t>
  </si>
  <si>
    <t>Mathematical analysis</t>
  </si>
  <si>
    <t>https://www.accessengineeringlibrary.com/content/book/9780071831284</t>
  </si>
  <si>
    <t>Design of Low-Noise Amplifiers for Ultra-Wideband Communications</t>
  </si>
  <si>
    <t>Roberto DĂ­az Ortega</t>
  </si>
  <si>
    <t>https://www.accessengineeringlibrary.com/content/book/9780071823128</t>
  </si>
  <si>
    <t>Working Guide to Process Equipment, Fourth Edition</t>
  </si>
  <si>
    <t>https://www.accessengineeringlibrary.com/content/book/9780071828062</t>
  </si>
  <si>
    <t>Pipeline Infrastructure Renewal and Asset Management</t>
  </si>
  <si>
    <t>Mohammad Najafi, Ph.D., P.E., F.ASCE</t>
  </si>
  <si>
    <t>https://www.accessengineeringlibrary.com/content/book/9780071823340</t>
  </si>
  <si>
    <t>Schaum's Outline of Electromagnetics, 4th Edition</t>
  </si>
  <si>
    <t>Joseph A. Edminister</t>
  </si>
  <si>
    <t>https://www.accessengineeringlibrary.com/content/book/9780071831475</t>
  </si>
  <si>
    <t>Project Management for Engineering and Construction, Third Edition</t>
  </si>
  <si>
    <t>Garold D. Oberlender, Ph.D., P.E.</t>
  </si>
  <si>
    <t>Project management | Operations management | Construction management</t>
  </si>
  <si>
    <t>https://www.accessengineeringlibrary.com/content/book/9780071822312</t>
  </si>
  <si>
    <t>Startup Equation: A Visual Guidebook to Building, Launching, and Scaling Your Startup</t>
  </si>
  <si>
    <t>Steven Fisher</t>
  </si>
  <si>
    <t>Entrepreneurship</t>
  </si>
  <si>
    <t>https://www.accessengineeringlibrary.com/content/book/9780071832366</t>
  </si>
  <si>
    <t>Signaling System #7, Sixth Edition</t>
  </si>
  <si>
    <t>https://www.accessengineeringlibrary.com/content/book/9780071822145</t>
  </si>
  <si>
    <t>Juran's Quality Essentials for Leaders</t>
  </si>
  <si>
    <t>JOSEPH A. DEFEO</t>
  </si>
  <si>
    <t>Quality engineering | Quality management</t>
  </si>
  <si>
    <t>https://www.accessengineeringlibrary.com/content/book/9780071825917</t>
  </si>
  <si>
    <t>Hybrid Electric Vehicle Design and Control: Intelligent Omnidirectional Hybrids</t>
  </si>
  <si>
    <t>Yangsheng Xu</t>
  </si>
  <si>
    <t>Power engineering | Electronics engineering | Transportation engineering</t>
  </si>
  <si>
    <t>https://www.accessengineeringlibrary.com/content/book/9780071826839</t>
  </si>
  <si>
    <t>Programmable Microcontrollers with Applications: MSP430 LaunchPad with CCS and Grace</t>
  </si>
  <si>
    <t>Cem Ăśnsalan, Ph.D.</t>
  </si>
  <si>
    <t>https://www.accessengineeringlibrary.com/content/book/9780071830034</t>
  </si>
  <si>
    <t>Standard Aircraft Handbook for Mechanics and Technicians, Seventh Edition</t>
  </si>
  <si>
    <t>Larry Reithmaier</t>
  </si>
  <si>
    <t>Materials applications | Structural engineering | Machine design</t>
  </si>
  <si>
    <t>https://www.accessengineeringlibrary.com/content/book/9780071826792</t>
  </si>
  <si>
    <t>Schaum's Outline of Feedback and Control Systems, Second Edition</t>
  </si>
  <si>
    <t>Joseph J. DiStefano, III, PhD</t>
  </si>
  <si>
    <t>Control engineering | Signal processing</t>
  </si>
  <si>
    <t>https://www.accessengineeringlibrary.com/content/book/9780071829489</t>
  </si>
  <si>
    <t>Civil Engineering All-In-One PE Exam Guide: Breadth and Depth, Third Edition</t>
  </si>
  <si>
    <t>Indranil Goswami, Ph.D., P.E.</t>
  </si>
  <si>
    <t>https://www.accessengineeringlibrary.com/content/book/9780071821957</t>
  </si>
  <si>
    <t>Chemical Engineering: The Essential Reference</t>
  </si>
  <si>
    <t>Louis Theodore</t>
  </si>
  <si>
    <t>https://www.accessengineeringlibrary.com/content/book/9780071831314</t>
  </si>
  <si>
    <t>Switch-Mode Power Supplies, Second Edition</t>
  </si>
  <si>
    <t>Christophe P. Basso</t>
  </si>
  <si>
    <t>https://www.accessengineeringlibrary.com/content/book/9780071823463</t>
  </si>
  <si>
    <t>Build Your Own Quadcopter: Power Up Your Designs with the Parallax Elev-8</t>
  </si>
  <si>
    <t>https://www.accessengineeringlibrary.com/content/book/9780071822282</t>
  </si>
  <si>
    <t>Schaum's Outline of Signals and Systems, Third Edition</t>
  </si>
  <si>
    <t>Hwei P. Hsu</t>
  </si>
  <si>
    <t>https://www.accessengineeringlibrary.com/content/book/9780071829465</t>
  </si>
  <si>
    <t>Six Sigma for Managers, Second Edition</t>
  </si>
  <si>
    <t>2015, 2002</t>
  </si>
  <si>
    <t>https://www.accessengineeringlibrary.com/content/book/9780071838634</t>
  </si>
  <si>
    <t>Handbook of Applied Hydrology, Second Edition</t>
  </si>
  <si>
    <t>Vijay P. Singh, Ph.D., D.Sc., D. Eng. (Hon.), Ph.D. (Hon.), D. Sc. (Hon.), P.E., P.H., Hon. D. WRE, Academician (GFA)</t>
  </si>
  <si>
    <t>https://www.accessengineeringlibrary.com/content/book/9780071835091</t>
  </si>
  <si>
    <t>Lineman's and Cableman's Handbook, Thirteenth Edition</t>
  </si>
  <si>
    <t>https://www.accessengineeringlibrary.com/content/book/9780071850032</t>
  </si>
  <si>
    <t>Global Kata: Success Through the Lean Business System Reference Model</t>
  </si>
  <si>
    <t>Terence T. Burton</t>
  </si>
  <si>
    <t>Systems engineering | Leadership | Process engineering</t>
  </si>
  <si>
    <t>https://www.accessengineeringlibrary.com/content/book/9780071843157</t>
  </si>
  <si>
    <t>30 BeagleBone Black Projects for the Evil Genius</t>
  </si>
  <si>
    <t>Christopher Rush</t>
  </si>
  <si>
    <t>https://www.accessengineeringlibrary.com/content/book/9780071839280</t>
  </si>
  <si>
    <t>Thermodynamics and Applications in Hydrocarbon Energy Production</t>
  </si>
  <si>
    <t>Abbas Firoozabadi</t>
  </si>
  <si>
    <t>Chemical thermodynamics | Transport phenomena | Mechanical thermodynamics</t>
  </si>
  <si>
    <t>https://www.accessengineeringlibrary.com/content/book/9780071843256</t>
  </si>
  <si>
    <t>Steel Metallurgy: Properties, Specifications and Applications</t>
  </si>
  <si>
    <t>S. K. Mandal</t>
  </si>
  <si>
    <t>Materials | Construction engineering | Materials applications</t>
  </si>
  <si>
    <t>https://www.accessengineeringlibrary.com/content/book/9780071844611</t>
  </si>
  <si>
    <t>Communications Receivers: Principles and Design, Fourth Edition</t>
  </si>
  <si>
    <t>Prof. Dr.-Ing. habil. Dr. h.c. mult. Ulrich L. Rohde</t>
  </si>
  <si>
    <t>https://www.accessengineeringlibrary.com/content/book/9780071843331</t>
  </si>
  <si>
    <t>Seismic Design of Reinforced Concrete Buildings</t>
  </si>
  <si>
    <t>Jack Moehle, Ph.D.</t>
  </si>
  <si>
    <t>https://www.accessengineeringlibrary.com/content/book/9780071839440</t>
  </si>
  <si>
    <t>Wind Energy Engineering, Second Edition</t>
  </si>
  <si>
    <t>Power engineering | Renewable energy | Sustainability</t>
  </si>
  <si>
    <t>https://www.accessengineeringlibrary.com/content/book/9780071843843</t>
  </si>
  <si>
    <t>How to Implement Lean Manufacturing, Second Edition</t>
  </si>
  <si>
    <t>Production engineering | Process engineering | Quality engineering</t>
  </si>
  <si>
    <t>https://www.accessengineeringlibrary.com/content/book/9780071835732</t>
  </si>
  <si>
    <t>Charge Pump IC Design</t>
  </si>
  <si>
    <t>Feng Pan</t>
  </si>
  <si>
    <t>https://www.accessengineeringlibrary.com/content/book/9780071836777</t>
  </si>
  <si>
    <t>Perry's Chemical Engineers' Handbook, 9th Edition</t>
  </si>
  <si>
    <t>Dr. Don W. Green</t>
  </si>
  <si>
    <t>https://www.accessengineeringlibrary.com/content/book/9780071834087</t>
  </si>
  <si>
    <t>Build Your Own PC on a Budget: A DIY Guide for Hobbyists and Gamers</t>
  </si>
  <si>
    <t>John Paul Mueller</t>
  </si>
  <si>
    <t>https://www.accessengineeringlibrary.com/content/book/9780071842372</t>
  </si>
  <si>
    <t>Digital Logic Design and Computer Organization: With Computer Architecture for Security</t>
  </si>
  <si>
    <t>Nikrouz Faroughi, Ph.D.</t>
  </si>
  <si>
    <t>Computer hardware | Circuit design | Electronics engineering</t>
  </si>
  <si>
    <t>https://www.accessengineeringlibrary.com/content/book/9780071836906</t>
  </si>
  <si>
    <t>Critical Path Method (CPM) Tutor for Construction Planning and Scheduling</t>
  </si>
  <si>
    <t>E. William East, Ph.D., P.E., F.ASCE</t>
  </si>
  <si>
    <t>Operations management | Project management | Construction management</t>
  </si>
  <si>
    <t>https://www.accessengineeringlibrary.com/content/book/9780071849234</t>
  </si>
  <si>
    <t>Entropy Theory in Hydrologic Science and Engineering</t>
  </si>
  <si>
    <t>Vijay P. Singh, Ph.D., D.Sc., D.Eng. (Hon.), Ph.D. (Hon.), P.E., P.H., Hon.D.WRE</t>
  </si>
  <si>
    <t>Chemical thermodynamics | Mechanical thermodynamics | Water resources engineering</t>
  </si>
  <si>
    <t>https://www.accessengineeringlibrary.com/content/book/9780071835466</t>
  </si>
  <si>
    <t>Programming the Photon: Getting Started with the Internet of Things</t>
  </si>
  <si>
    <t>Makerspace electronics | Internet of things</t>
  </si>
  <si>
    <t>https://www.accessengineeringlibrary.com/content/book/9780071847063</t>
  </si>
  <si>
    <t>Master Handbook of Acoustics, Sixth Edition</t>
  </si>
  <si>
    <t>https://www.accessengineeringlibrary.com/content/book/9780071841047</t>
  </si>
  <si>
    <t>Widgets: The 12 New Rules for Managing Your Employees as If They're Real People</t>
  </si>
  <si>
    <t>Rodd Wagner</t>
  </si>
  <si>
    <t>https://www.accessengineeringlibrary.com/content/book/9780071847780</t>
  </si>
  <si>
    <t>Manufacturing Engineering Handbook, Second Edition</t>
  </si>
  <si>
    <t>Hwaiyu Geng, CMfgE, PE</t>
  </si>
  <si>
    <t>https://www.accessengineeringlibrary.com/content/book/9780071839778</t>
  </si>
  <si>
    <t>Reinforced Concrete Structures: Analysis and Design, Second Edition</t>
  </si>
  <si>
    <t>David A. Fanella, Ph.D., S.E., P.E., F.ASCE, F.ACI</t>
  </si>
  <si>
    <t>https://www.accessengineeringlibrary.com/content/book/9780071847841</t>
  </si>
  <si>
    <t>Nalco Champion Fuel Field Manual, Third Edition</t>
  </si>
  <si>
    <t>Kim B. Peyton</t>
  </si>
  <si>
    <t>Fuels</t>
  </si>
  <si>
    <t>https://www.accessengineeringlibrary.com/content/book/9780071848091</t>
  </si>
  <si>
    <t>World-Class Warehousing and Material Handling, Second Edition</t>
  </si>
  <si>
    <t>Dr. Edward H. Frazelle</t>
  </si>
  <si>
    <t>Materials handling | Operations management | Facility management</t>
  </si>
  <si>
    <t>https://www.accessengineeringlibrary.com/content/book/9780071842822</t>
  </si>
  <si>
    <t>Double-Walled Piping: A Handbook for the Petroleum and Petrochemical Industry</t>
  </si>
  <si>
    <t>Christopher G. Ziu</t>
  </si>
  <si>
    <t>Pressure vessels and piping | Infrastructure | Construction engineering</t>
  </si>
  <si>
    <t>https://www.accessengineeringlibrary.com/content/book/9780071841726</t>
  </si>
  <si>
    <t>Fritzing for Inventors: Take Your Electronics Project from Prototype to Product</t>
  </si>
  <si>
    <t>https://www.accessengineeringlibrary.com/content/book/9780071844635</t>
  </si>
  <si>
    <t>Capacitors</t>
  </si>
  <si>
    <t>R. P. Deshpande</t>
  </si>
  <si>
    <t>https://www.accessengineeringlibrary.com/content/book/9780071848565</t>
  </si>
  <si>
    <t>Dynamic Analysis of Skeletal Structures: Force and Displacement Methods and Iterative Techniques</t>
  </si>
  <si>
    <t>Seetharamulu Kaveti</t>
  </si>
  <si>
    <t>Structural engineering | Solid mechanics | Materials applications</t>
  </si>
  <si>
    <t>https://www.accessengineeringlibrary.com/content/book/9780071835855</t>
  </si>
  <si>
    <t>Video Over Wireless</t>
  </si>
  <si>
    <t>Benny Bing</t>
  </si>
  <si>
    <t>Signal processing | Communications engineering | Electronics engineering</t>
  </si>
  <si>
    <t>https://www.accessengineeringlibrary.com/content/book/9780071849289</t>
  </si>
  <si>
    <t>McGraw-Hill's National Electrical CodeÂ® 2014 Handbook, Twenty-Eighth Edition</t>
  </si>
  <si>
    <t>Frederic P. Hartwell</t>
  </si>
  <si>
    <t>https://www.accessengineeringlibrary.com/content/book/9780071834780</t>
  </si>
  <si>
    <t>Big Fish Experience: Create Memorable Presentations That Reel In Your Audience</t>
  </si>
  <si>
    <t>Kenny Nguyen</t>
  </si>
  <si>
    <t>https://www.accessengineeringlibrary.com/content/book/9780071834926</t>
  </si>
  <si>
    <t>One Perfect Pitch: How to  Sell Your Idea, Your Product, Your Businessâ€”or Yourself</t>
  </si>
  <si>
    <t>Marie Perruchet</t>
  </si>
  <si>
    <t>Entrepreneurship | Business communication</t>
  </si>
  <si>
    <t>https://www.accessengineeringlibrary.com/content/book/9780071837590</t>
  </si>
  <si>
    <t>How to Diagnose and Fix Everything Electronic, Second Edition</t>
  </si>
  <si>
    <t>Michael Jay Geier</t>
  </si>
  <si>
    <t>https://www.accessengineeringlibrary.com/content/book/9780071848299</t>
  </si>
  <si>
    <t>3D Printing and CNC Fabrication with SketchUp</t>
  </si>
  <si>
    <t>https://www.accessengineeringlibrary.com/content/book/9780071842419</t>
  </si>
  <si>
    <t>Failure Analysis of Wood and Wood-Based Products</t>
  </si>
  <si>
    <t>Dirk Lukowsky, Ph.D.</t>
  </si>
  <si>
    <t>https://www.accessengineeringlibrary.com/content/book/9780071839372</t>
  </si>
  <si>
    <t>Arduino Projects for Amateur Radio</t>
  </si>
  <si>
    <t>Dr. Jack Purdum, W8TEE, Dennis Kidder, W6DQ</t>
  </si>
  <si>
    <t>https://www.accessengineeringlibrary.com/content/book/9780071834056</t>
  </si>
  <si>
    <t>Fundamentals of Fluid Film Lubrication</t>
  </si>
  <si>
    <t>Mihir K. Ghosh, Ph.D.</t>
  </si>
  <si>
    <t>Machine design | Fluid mechanics | Transport phenomena</t>
  </si>
  <si>
    <t>https://www.accessengineeringlibrary.com/content/book/9780071834971</t>
  </si>
  <si>
    <t>Digital Filters: Analysis, Design, and Signal Processing Applications</t>
  </si>
  <si>
    <t>Andreas Antoniou, Ph.D.</t>
  </si>
  <si>
    <t>Signal processing | Electronics engineering</t>
  </si>
  <si>
    <t>https://www.accessengineeringlibrary.com/content/book/9780071846035</t>
  </si>
  <si>
    <t>Supply Chain Strategy, Second Edition: Unleash the Power of Business Integration to Maximize Financial, Service, and Operations Performance</t>
  </si>
  <si>
    <t>Edward H. Frazelle, Ph.D.</t>
  </si>
  <si>
    <t>https://www.accessengineeringlibrary.com/content/book/9780071842808</t>
  </si>
  <si>
    <t>The Internet of Things: Do-It-Yourself at Home Projects for Arduino, Raspberry Pi, and BeagleBone Black</t>
  </si>
  <si>
    <t>Donald Norris (Barrington, NH)</t>
  </si>
  <si>
    <t>Makerspace electronics | Embedded systems</t>
  </si>
  <si>
    <t>https://www.accessengineeringlibrary.com/content/book/9780071835206</t>
  </si>
  <si>
    <t>3D IC Integration and Packaging</t>
  </si>
  <si>
    <t>https://www.accessengineeringlibrary.com/content/book/9780071848060</t>
  </si>
  <si>
    <t>Electronics from the Ground Up: Learn by Hacking, Designing, and Inventing</t>
  </si>
  <si>
    <t>https://www.accessengineeringlibrary.com/content/book/9780071837286</t>
  </si>
  <si>
    <t>Integrated Wireless Propagation Models</t>
  </si>
  <si>
    <t>William C. Y. Lee, Ph.D.</t>
  </si>
  <si>
    <t>https://www.accessengineeringlibrary.com/content/book/9780071837514</t>
  </si>
  <si>
    <t>Six Sigma Handbook, Fourth Edition</t>
  </si>
  <si>
    <t>https://www.accessengineeringlibrary.com/content/book/9780071840538</t>
  </si>
  <si>
    <t>BUILDING CONSTRUCTION: Design Aspects of Leakage and Seepage Free Buildings</t>
  </si>
  <si>
    <t>Er. Krishna Kant</t>
  </si>
  <si>
    <t>Construction engineering | Pressure vessels and piping | Infrastructure</t>
  </si>
  <si>
    <t>https://www.accessengineeringlibrary.com/content/book/9781259006067</t>
  </si>
  <si>
    <t>Metal Forming: Technology and Process Modelling</t>
  </si>
  <si>
    <t>Uday S. Dixit</t>
  </si>
  <si>
    <t>https://www.accessengineeringlibrary.com/content/book/9781259007347</t>
  </si>
  <si>
    <t>McGraw-Hill's National Electrical Safety Code (NESC) 2017 Handbook</t>
  </si>
  <si>
    <t>https://www.accessengineeringlibrary.com/content/book/9781259584152</t>
  </si>
  <si>
    <t>Teach Yourself Electricity and Electronics, 6th Edition</t>
  </si>
  <si>
    <t>Physics | Electronics engineering</t>
  </si>
  <si>
    <t>https://www.accessengineeringlibrary.com/content/book/9781259585531</t>
  </si>
  <si>
    <t>Handbook of Civil Engineering Calculations, Third Edition</t>
  </si>
  <si>
    <t>https://www.accessengineeringlibrary.com/content/book/9781259586859</t>
  </si>
  <si>
    <t>LTE Signaling with Diameter</t>
  </si>
  <si>
    <t>https://www.accessengineeringlibrary.com/content/book/9781259584275</t>
  </si>
  <si>
    <t>McGraw-Hill's National Electrical Code 2017 Handbook, 29th Edition</t>
  </si>
  <si>
    <t>https://www.accessengineeringlibrary.com/content/book/9781259584428</t>
  </si>
  <si>
    <t>Introduction to Water Resource Recovery Facility Design, Second Edition</t>
  </si>
  <si>
    <t>https://www.accessengineeringlibrary.com/content/book/9780071850445</t>
  </si>
  <si>
    <t>Design for Advanced Manufacturing: Technologies and Processes</t>
  </si>
  <si>
    <t>LaRoux K. Gillespie</t>
  </si>
  <si>
    <t>https://www.accessengineeringlibrary.com/content/book/9781259587450</t>
  </si>
  <si>
    <t>Electromagnetic Composites Handbook: Models, Measurement, and Characterization, Second Edition</t>
  </si>
  <si>
    <t>Rick Moore</t>
  </si>
  <si>
    <t>Materials | Signal processing | Optical engineering</t>
  </si>
  <si>
    <t>https://www.accessengineeringlibrary.com/content/book/9781259585043</t>
  </si>
  <si>
    <t>Practical Electronics for Inventors, Fourth Edition</t>
  </si>
  <si>
    <t>https://www.accessengineeringlibrary.com/content/book/9781259587542</t>
  </si>
  <si>
    <t>Introduction to Geoinformatics</t>
  </si>
  <si>
    <t>G. S Srivastava</t>
  </si>
  <si>
    <t>Communications engineering | Optical engineering | Transportation engineering</t>
  </si>
  <si>
    <t>https://www.accessengineeringlibrary.com/content/book/9781259058462</t>
  </si>
  <si>
    <t>Introduction to the Finite Element Method, Third Edition</t>
  </si>
  <si>
    <t>J. N. Reddy</t>
  </si>
  <si>
    <t>https://www.accessengineeringlibrary.com/content/book/9780072466850</t>
  </si>
  <si>
    <t>Fracturing Horizontal Wells</t>
  </si>
  <si>
    <t>Mohamed Y. Soliman, Ph.D., P.E., NAI</t>
  </si>
  <si>
    <t>Petroleum engineering | Geological engineering</t>
  </si>
  <si>
    <t>https://www.accessengineeringlibrary.com/content/book/9781259585616</t>
  </si>
  <si>
    <t>Lange's Handbook of Chemistry, Seventeenth Edition</t>
  </si>
  <si>
    <t>Dr. James G. Speight</t>
  </si>
  <si>
    <t>https://www.accessengineeringlibrary.com/content/book/9781259586095</t>
  </si>
  <si>
    <t>Urban Transportation: Planning, Operation and Management</t>
  </si>
  <si>
    <t>S. Ponnuswamy</t>
  </si>
  <si>
    <t>Transportation engineering | Urban engineering</t>
  </si>
  <si>
    <t>https://www.accessengineeringlibrary.com/content/book/9781259002731</t>
  </si>
  <si>
    <t>Textbook of Nanoscience and Nanotechnology</t>
  </si>
  <si>
    <t>Nanoscience | Materials</t>
  </si>
  <si>
    <t>https://www.accessengineeringlibrary.com/content/book/9781259007323</t>
  </si>
  <si>
    <t>Programming the Raspberry Pi: Getting Started with Python, Second Edition</t>
  </si>
  <si>
    <t>https://www.accessengineeringlibrary.com/content/book/9781259587405</t>
  </si>
  <si>
    <t>Emergency Management for Facility and Property Managers</t>
  </si>
  <si>
    <t>Dr. Richard P. Payant</t>
  </si>
  <si>
    <t>Safety engineering | Construction engineering | Water resources engineering</t>
  </si>
  <si>
    <t>https://www.accessengineeringlibrary.com/content/book/9781259587665</t>
  </si>
  <si>
    <t>Data Communications and Networking, Fourth Edition</t>
  </si>
  <si>
    <t>Behrouz A. Forouzan</t>
  </si>
  <si>
    <t>https://www.accessengineeringlibrary.com/content/book/9780073250328</t>
  </si>
  <si>
    <t>Cable-Suspended Roofs, Second Edition</t>
  </si>
  <si>
    <t>Prem Krishna</t>
  </si>
  <si>
    <t>https://www.accessengineeringlibrary.com/content/book/9781259028472</t>
  </si>
  <si>
    <t>Indoor Air Quality Handbook</t>
  </si>
  <si>
    <t>John D. Spengler, Ph. D.</t>
  </si>
  <si>
    <t>Construction engineering | Sustainability | Air quality</t>
  </si>
  <si>
    <t>https://www.accessengineeringlibrary.com/content/book/9780074455494</t>
  </si>
  <si>
    <t>Semiconductor Manufacturing Handbook, Second Edition</t>
  </si>
  <si>
    <t>https://www.accessengineeringlibrary.com/content/book/9781259587696</t>
  </si>
  <si>
    <t>Handbook of Petroleum Refining Processes, Fourth Edition</t>
  </si>
  <si>
    <t>Robert A. Meyers, Ph.D.</t>
  </si>
  <si>
    <t>Chemical processes | Petroleum engineering | Fuels</t>
  </si>
  <si>
    <t>https://www.accessengineeringlibrary.com/content/book/9780071850490</t>
  </si>
  <si>
    <t>Standard Handbook for Aerospace Engineers, Second Edition</t>
  </si>
  <si>
    <t>Dr. Brij N. Agrawal</t>
  </si>
  <si>
    <t>Aerospace engineering</t>
  </si>
  <si>
    <t>https://www.accessengineeringlibrary.com/content/book/9781259585173</t>
  </si>
  <si>
    <t>Green Technologies: For a Better Future</t>
  </si>
  <si>
    <t>Soli J. Arceivala</t>
  </si>
  <si>
    <t>Sustainability | Construction engineering | Air quality</t>
  </si>
  <si>
    <t>https://www.accessengineeringlibrary.com/content/book/9781259063732</t>
  </si>
  <si>
    <t>Infrastructure Planning, Engineering, and Economics, Second Edition</t>
  </si>
  <si>
    <t>Alvin S. Goodman, Ph.D., P.E., F.ASCE</t>
  </si>
  <si>
    <t>Infrastructure | Project management | Operations management</t>
  </si>
  <si>
    <t>https://www.accessengineeringlibrary.com/content/book/9780071850131</t>
  </si>
  <si>
    <t>ENVIRONMENTAL GEOLOGY: Ecology, Resource and Hazard Management, Second edition</t>
  </si>
  <si>
    <t>K.S. Valdiya</t>
  </si>
  <si>
    <t>Earth sciences</t>
  </si>
  <si>
    <t>https://www.accessengineeringlibrary.com/content/book/9781259058479</t>
  </si>
  <si>
    <t>2015 International Building CodeÂ® Illustrated Handbook</t>
  </si>
  <si>
    <t>The International Code CouncilÂ® (ICCÂ®)</t>
  </si>
  <si>
    <t>Construction engineering | Structural engineering | Construction management</t>
  </si>
  <si>
    <t>https://www.accessengineeringlibrary.com/content/book/9781259586125</t>
  </si>
  <si>
    <t>Reservoir Engineering Models: Analytical and Numerical Approaches</t>
  </si>
  <si>
    <t>Turgay Ertekin</t>
  </si>
  <si>
    <t>Petroleum engineering | Fluid mechanics | Transport phenomena</t>
  </si>
  <si>
    <t>https://www.accessengineeringlibrary.com/content/book/9781259585630</t>
  </si>
  <si>
    <t>Innovating Lean Six Sigma: A Strategic Guide to Deploying the World's Most Effective Business Improvement Process</t>
  </si>
  <si>
    <t>Kimberly Watson-Hemphill</t>
  </si>
  <si>
    <t>https://www.accessengineeringlibrary.com/content/book/9781259584404</t>
  </si>
  <si>
    <t>Environmental Studies: A Practitioner's Approach</t>
  </si>
  <si>
    <t>Waste engineering | Water resources engineering | Sustainability</t>
  </si>
  <si>
    <t>https://www.accessengineeringlibrary.com/content/book/9781259006050</t>
  </si>
  <si>
    <t>Carpentry and Construction, Sixth Edition</t>
  </si>
  <si>
    <t>Mark R. Miller</t>
  </si>
  <si>
    <t>Construction engineering | Structural engineering | Materials</t>
  </si>
  <si>
    <t>https://www.accessengineeringlibrary.com/content/book/9781259587429</t>
  </si>
  <si>
    <t>Disaster Science and Management</t>
  </si>
  <si>
    <t>Tushar Bhattacharya</t>
  </si>
  <si>
    <t>Geotechnical engineering | Water resources engineering | Sustainability</t>
  </si>
  <si>
    <t>https://www.accessengineeringlibrary.com/content/book/9781259007361</t>
  </si>
  <si>
    <t>Biofuels Engineering Process Technology, Second Edition</t>
  </si>
  <si>
    <t>Caye M. Drapcho, Ph.D.</t>
  </si>
  <si>
    <t>https://www.accessengineeringlibrary.com/content/book/9781259585722</t>
  </si>
  <si>
    <t>Energy Systems Engineering: Evaluation and Implementation, Third Edition</t>
  </si>
  <si>
    <t>https://www.accessengineeringlibrary.com/content/book/9781259585098</t>
  </si>
  <si>
    <t>Earthquake Engineering: Theory and Implementation with the 2015 International Building Code, Third Edition</t>
  </si>
  <si>
    <t>Nazzal S. Armouti, Ph.D., P.E.</t>
  </si>
  <si>
    <t>Structural engineering | Geotechnical engineering | Material properties</t>
  </si>
  <si>
    <t>https://www.accessengineeringlibrary.com/content/book/9781259587122</t>
  </si>
  <si>
    <t>CPM in Construction Management, Eighth Edition</t>
  </si>
  <si>
    <t>James J. O'Brien, P.E., PMP, CVS</t>
  </si>
  <si>
    <t>2016, 2010, 2006, 1999, 1993, 1984, 1971, 1965</t>
  </si>
  <si>
    <t>https://www.accessengineeringlibrary.com/content/book/9781259587276</t>
  </si>
  <si>
    <t>Steam Plant Operation, 10th Edition</t>
  </si>
  <si>
    <t>Power engineering | Mechanical thermodynamics | Fluid mechanics</t>
  </si>
  <si>
    <t>https://www.accessengineeringlibrary.com/content/book/9781259641336</t>
  </si>
  <si>
    <t>Commercial Aviation Safety, Sixth Edition</t>
  </si>
  <si>
    <t>Stephen K. Cusick, J.D.</t>
  </si>
  <si>
    <t>Transportation engineering | Aeronautics | Aircraft</t>
  </si>
  <si>
    <t>https://www.accessengineeringlibrary.com/content/book/9781259641824</t>
  </si>
  <si>
    <t>Toyota Engagement Equation: How to Understand and Implement Continuous Improvement Thinking in Any Organization</t>
  </si>
  <si>
    <t>Tracey Richardson</t>
  </si>
  <si>
    <t>https://www.accessengineeringlibrary.com/content/book/9781259837425</t>
  </si>
  <si>
    <t>Engineering Hydrology: An Introduction to Processes, Analysis, and Modeling</t>
  </si>
  <si>
    <t>Sharad K. Jain, Ph.D.</t>
  </si>
  <si>
    <t>https://www.accessengineeringlibrary.com/content/book/9781259641978</t>
  </si>
  <si>
    <t>Juran's Quality Handbook: The Complete Guide to Performance Excellence, Seventh Edition</t>
  </si>
  <si>
    <t>Joseph A. De Feo</t>
  </si>
  <si>
    <t>https://www.accessengineeringlibrary.com/content/book/9781259643613</t>
  </si>
  <si>
    <t>Structural Engineering SE All-in-One Exam Guide: Breadth and Depth</t>
  </si>
  <si>
    <t>Dave K. Adams, S.E.</t>
  </si>
  <si>
    <t>Structural engineering</t>
  </si>
  <si>
    <t>https://www.accessengineeringlibrary.com/content/book/9781259641039</t>
  </si>
  <si>
    <t>Operation of Water Resource Recovery Facilities, Manual of Practice No. 11, Seventh Edition</t>
  </si>
  <si>
    <t>The Water Environment Federation (WEF)</t>
  </si>
  <si>
    <t>Waste engineering | Wastewater engineering | Transport phenomena</t>
  </si>
  <si>
    <t>https://www.accessengineeringlibrary.com/content/book/9781259859366</t>
  </si>
  <si>
    <t>Antenna Engineering Handbook, Fifth Edition</t>
  </si>
  <si>
    <t>https://www.accessengineeringlibrary.com/content/book/9781259644696</t>
  </si>
  <si>
    <t>Aircraft Powerplants, Ninth Edition</t>
  </si>
  <si>
    <t>Thomas W. Wild, Ph.D.</t>
  </si>
  <si>
    <t>https://www.accessengineeringlibrary.com/content/book/9781259835704</t>
  </si>
  <si>
    <t>Raspberry PiÂ® Electronics Projects for the Evil Genius</t>
  </si>
  <si>
    <t>https://www.accessengineeringlibrary.com/content/book/9781259640582</t>
  </si>
  <si>
    <t>Marks' Standard Handbook for Mechanical Engineers, 12th Edition</t>
  </si>
  <si>
    <t>Ali M. Sadegh, Ph.D.</t>
  </si>
  <si>
    <t>https://www.accessengineeringlibrary.com/content/book/9781259588501</t>
  </si>
  <si>
    <t>Bridge Engineering: Design, Rehabilitation, and Maintenance of Modern Highway Bridges, Fourth Edition</t>
  </si>
  <si>
    <t>Jim J. Zhao, Ph.D., P.E., F.ASCE</t>
  </si>
  <si>
    <t>https://www.accessengineeringlibrary.com/content/book/9781259643095</t>
  </si>
  <si>
    <t>McGraw-Hill's Guide to UK Wiring Standards for Earthing &amp; Bonding</t>
  </si>
  <si>
    <t>https://www.accessengineeringlibrary.com/content/book/9781259641275</t>
  </si>
  <si>
    <t>Masonry Structural Design, Second Edition</t>
  </si>
  <si>
    <t>Jennifer Eisenhauer Tanner, Ph.D., P.E.</t>
  </si>
  <si>
    <t>https://www.accessengineeringlibrary.com/content/book/9781259641756</t>
  </si>
  <si>
    <t>Hands-On PLC Programming with RSLogix 500 and LogixProÂ®</t>
  </si>
  <si>
    <t>Dr. Eman Kamel</t>
  </si>
  <si>
    <t>Control engineering | Process engineering | Facility management</t>
  </si>
  <si>
    <t>https://www.accessengineeringlibrary.com/content/book/9781259644344</t>
  </si>
  <si>
    <t>Applied Biofluid Mechanics, Second Edition</t>
  </si>
  <si>
    <t>Lee Waite, Ph.D., P.E.</t>
  </si>
  <si>
    <t>https://www.accessengineeringlibrary.com/content/book/9781259644153</t>
  </si>
  <si>
    <t>Digital System Design with FPGA: Implementation Using Verilog and VHDL</t>
  </si>
  <si>
    <t>Circuit design | Logic design | Electronics engineering</t>
  </si>
  <si>
    <t>https://www.accessengineeringlibrary.com/content/book/9781259837906</t>
  </si>
  <si>
    <t>One Simple Idea, Revised and Expanded Edition: Turn Your Dreams into a Licensing Goldmine While Letting Others Do the Work</t>
  </si>
  <si>
    <t>https://www.accessengineeringlibrary.com/content/book/9781259589676</t>
  </si>
  <si>
    <t>Programming Arduino: Getting Started with Sketches, Second Edition</t>
  </si>
  <si>
    <t>Simon Monk</t>
  </si>
  <si>
    <t>https://www.accessengineeringlibrary.com/content/book/9781259641633</t>
  </si>
  <si>
    <t>Lean Six Sigma for Hospitals: Improving Patient Safety, Patient Flow, and the Bottom Line, Second Edition</t>
  </si>
  <si>
    <t>https://www.accessengineeringlibrary.com/content/book/9781259641084</t>
  </si>
  <si>
    <t>Leading the Malcolm Baldrige Way: How World-Class Leaders Align Their Organizations to Deliver Exceptional Results</t>
  </si>
  <si>
    <t>Kay Kendall</t>
  </si>
  <si>
    <t>https://www.accessengineeringlibrary.com/content/book/9781259588662</t>
  </si>
  <si>
    <t>VLSI Analog Circuits: Algorithms, Architecture, Modeling, and Circuit Implementation, Second Edition</t>
  </si>
  <si>
    <t>Hongjiang Song, Ph.D.</t>
  </si>
  <si>
    <t>https://www.accessengineeringlibrary.com/content/book/9781259644931</t>
  </si>
  <si>
    <t>Handbook of Petrochemicals Production Processes, Second Edition</t>
  </si>
  <si>
    <t>https://www.accessengineeringlibrary.com/content/book/9781259643132</t>
  </si>
  <si>
    <t>Automatic Control Systems, Tenth Edition</t>
  </si>
  <si>
    <t>Dr. Farid Golnaraghi</t>
  </si>
  <si>
    <t>https://www.accessengineeringlibrary.com/content/book/9781259643835</t>
  </si>
  <si>
    <t>Steel Structures Design for Lateral and Vertical Forces, Second Edition</t>
  </si>
  <si>
    <t>Alan Williams, Ph.D., S.E., F.I.C.E., C.Eng.</t>
  </si>
  <si>
    <t>https://www.accessengineeringlibrary.com/content/book/9781259588013</t>
  </si>
  <si>
    <t>Programmable Microcontrollers: Applications on the MSP432 LaunchPad</t>
  </si>
  <si>
    <t>Electronics engineering | Computer hardware | Communications engineering</t>
  </si>
  <si>
    <t>https://www.accessengineeringlibrary.com/content/book/9781259836190</t>
  </si>
  <si>
    <t>Standard Handbook for Electrical Engineers, Seventeenth Edition</t>
  </si>
  <si>
    <t>https://www.accessengineeringlibrary.com/content/book/9781259642586</t>
  </si>
  <si>
    <t>New Manager's Survival Guide: Everything You Need to Know to Succeed in the Corporate World</t>
  </si>
  <si>
    <t>https://www.accessengineeringlibrary.com/content/book/9781259588976</t>
  </si>
  <si>
    <t>Green Electrical Energy Storage: Science and Finance for Total Fossil Fuel Substitution</t>
  </si>
  <si>
    <t>Gabriele Zini</t>
  </si>
  <si>
    <t>Power engineering | Electronics engineering | Engineering economics</t>
  </si>
  <si>
    <t>https://www.accessengineeringlibrary.com/content/book/9781259642838</t>
  </si>
  <si>
    <t>Modern Completion Technology for Oil and Gas Wells</t>
  </si>
  <si>
    <t>Ding Zhu, Ph.D.</t>
  </si>
  <si>
    <t>Petroleum engineering | Geological engineering | Materials applications</t>
  </si>
  <si>
    <t>https://www.accessengineeringlibrary.com/content/book/9781259642029</t>
  </si>
  <si>
    <t>Programming the Intel Edison: Getting Started with Processing and Python</t>
  </si>
  <si>
    <t>https://www.accessengineeringlibrary.com/content/book/9781259588334</t>
  </si>
  <si>
    <t>Big Book of Makerspace Projects: Inspiring Makers to Experiment, Create, and Learn</t>
  </si>
  <si>
    <t>Colleen Graves</t>
  </si>
  <si>
    <t>https://www.accessengineeringlibrary.com/content/book/9781259644252</t>
  </si>
  <si>
    <t>Entrepreneur's Book of Actions: Essential Daily Exercises and Habits for Becoming Wealthier, Smarter, and More Successful</t>
  </si>
  <si>
    <t>Rhett Power</t>
  </si>
  <si>
    <t>https://www.accessengineeringlibrary.com/content/book/9781259859175</t>
  </si>
  <si>
    <t>Energy-Efficient Industrial Systems: Evaluation and Implementation</t>
  </si>
  <si>
    <t>Dr. Lal Jayamaha</t>
  </si>
  <si>
    <t>https://www.accessengineeringlibrary.com/content/book/9781259589782</t>
  </si>
  <si>
    <t>Project Management in Construction, Seventh Edition</t>
  </si>
  <si>
    <t>Construction management | Construction engineering | Project management</t>
  </si>
  <si>
    <t>https://www.accessengineeringlibrary.com/content/book/9781259859700</t>
  </si>
  <si>
    <t>Nalco Water Handbook, Fourth Edition</t>
  </si>
  <si>
    <t>Nalco Water, an Ecolab Company</t>
  </si>
  <si>
    <t>Water treatment | Thermal engineering | Waste engineering</t>
  </si>
  <si>
    <t>https://www.accessengineeringlibrary.com/content/book/9781259860973</t>
  </si>
  <si>
    <t>20 Makey Makey Projects for the Evil Genius</t>
  </si>
  <si>
    <t>https://www.accessengineeringlibrary.com/content/book/9781259860461</t>
  </si>
  <si>
    <t>Schaum's Outline of Statistics, Sixth Edition</t>
  </si>
  <si>
    <t>The late Dr. Murray R. Spiegel</t>
  </si>
  <si>
    <t>https://www.accessengineeringlibrary.com/content/book/9781260011463</t>
  </si>
  <si>
    <t>Fundamentals of Device and Systems Packaging: Technologies and Applications, Second Edition</t>
  </si>
  <si>
    <t>Dr. Rao R. Tummala</t>
  </si>
  <si>
    <t>https://www.accessengineeringlibrary.com/content/book/9781259861550</t>
  </si>
  <si>
    <t>Make Your Own PCBs with EAGLE: From Schematic Designs to Finished Boards, Second Edition</t>
  </si>
  <si>
    <t>https://www.accessengineeringlibrary.com/content/book/9781260019193</t>
  </si>
  <si>
    <t>Building with Virtual LEGO: Getting Started with LEGO Digital Designer, LDraw, and Mecabricks</t>
  </si>
  <si>
    <t>John Baichtal</t>
  </si>
  <si>
    <t>https://www.accessengineeringlibrary.com/content/book/9781259861833</t>
  </si>
  <si>
    <t>Schaum's Outline: Mathematical Handbook of Formulas and Tables, Fifth Edition</t>
  </si>
  <si>
    <t>Mathematics</t>
  </si>
  <si>
    <t>https://www.accessengineeringlibrary.com/content/book/9781260010534</t>
  </si>
  <si>
    <t>Schaum's Outline of Geometry, Sixth Edition</t>
  </si>
  <si>
    <t>Barnett Rich, PhD</t>
  </si>
  <si>
    <t>Geometry</t>
  </si>
  <si>
    <t>https://www.accessengineeringlibrary.com/content/book/9781260010572</t>
  </si>
  <si>
    <t>Lean Strategy: Using Lean to Create Competitive Advantage, Unleash Innovation, and Deliver Sustainable Growth</t>
  </si>
  <si>
    <t>Dr. Michael BallĂ©</t>
  </si>
  <si>
    <t>Production engineering | Quality engineering | Process engineering</t>
  </si>
  <si>
    <t>https://www.accessengineeringlibrary.com/content/book/9781259860423</t>
  </si>
  <si>
    <t>Introduction to the Finite Element Method, Fourth Edition</t>
  </si>
  <si>
    <t>J. N. Reddy, Ph.D.</t>
  </si>
  <si>
    <t>Finite element analysis | Transport phenomena | Structural engineering</t>
  </si>
  <si>
    <t>https://www.accessengineeringlibrary.com/content/book/9781259861901</t>
  </si>
  <si>
    <t>Building Design for Wind Forces</t>
  </si>
  <si>
    <t>Rima Taher, Ph.D., P.E.</t>
  </si>
  <si>
    <t>https://www.accessengineeringlibrary.com/content/book/9781259860805</t>
  </si>
  <si>
    <t>Programming with STM32: Getting Started with the Nucleo Board and C/C++</t>
  </si>
  <si>
    <t>https://www.accessengineeringlibrary.com/content/book/9781260031317</t>
  </si>
  <si>
    <t>Schaum's Outline of Electric Circuits, Seventh Edition</t>
  </si>
  <si>
    <t>Mahmood Nahvi</t>
  </si>
  <si>
    <t>Electronics engineering | Signal processing | Circuit analysis</t>
  </si>
  <si>
    <t>https://www.accessengineeringlibrary.com/content/book/9781260011968</t>
  </si>
  <si>
    <t>Design of Water Resource Recovery Facilities, Sixth Edition</t>
  </si>
  <si>
    <t>https://www.accessengineeringlibrary.com/content/book/9781260031188</t>
  </si>
  <si>
    <t>Schaum's Outline of Linear Algebra, Sixth Edition</t>
  </si>
  <si>
    <t>Seymour Lipschutz, Ph.D.</t>
  </si>
  <si>
    <t>Linear algebra</t>
  </si>
  <si>
    <t>https://www.accessengineeringlibrary.com/content/book/9781260011449</t>
  </si>
  <si>
    <t>Linden's Handbook of Batteries, Fifth Edition</t>
  </si>
  <si>
    <t>Kirby W. Beard</t>
  </si>
  <si>
    <t>https://www.accessengineeringlibrary.com/content/book/9781260115925</t>
  </si>
  <si>
    <t>Robots and Robotics: Principles, Systems, and Industrial Applications</t>
  </si>
  <si>
    <t>Mechatronics | Electronics engineering | Power engineering</t>
  </si>
  <si>
    <t>https://www.accessengineeringlibrary.com/content/book/9781259859786</t>
  </si>
  <si>
    <t>Schaum's Outline of Trigonometry, Sixth Edition</t>
  </si>
  <si>
    <t>Robert E. Moyer, Ph.D.</t>
  </si>
  <si>
    <t>Trigonometry</t>
  </si>
  <si>
    <t>https://www.accessengineeringlibrary.com/content/book/9781260011487</t>
  </si>
  <si>
    <t>Moving the Earth: Excavation Equipment, Methods, Safety, and Cost, Seventh Edition</t>
  </si>
  <si>
    <t>Robert L. Schmitt, P.E.</t>
  </si>
  <si>
    <t>Construction engineering | Geotechnical engineering | Land development</t>
  </si>
  <si>
    <t>https://www.accessengineeringlibrary.com/content/book/9781260011647</t>
  </si>
  <si>
    <t>Transportation Engineering: A Practical Approach to Highway Design, Traffic Analysis, and Systems Operations</t>
  </si>
  <si>
    <t>Beverly Thompson Kuhn, Ph.D., P.E., PMP</t>
  </si>
  <si>
    <t>Transportation engineering | Infrastructure | Operations management</t>
  </si>
  <si>
    <t>https://www.accessengineeringlibrary.com/content/book/9781260019575</t>
  </si>
  <si>
    <t>Handbook of Hydraulics, Eighth Edition</t>
  </si>
  <si>
    <t>James E. Lindell</t>
  </si>
  <si>
    <t>https://www.accessengineeringlibrary.com/content/book/9781259859687</t>
  </si>
  <si>
    <t>Beginner's Guide to Reading Schematics, Fourth Edition</t>
  </si>
  <si>
    <t>https://www.accessengineeringlibrary.com/content/book/9781260031102</t>
  </si>
  <si>
    <t>Aircraft Electricity and Electronics, Seventh Edition</t>
  </si>
  <si>
    <t>https://www.accessengineeringlibrary.com/content/book/9781260108217</t>
  </si>
  <si>
    <t>3D Printer Projects for Makerspaces</t>
  </si>
  <si>
    <t>https://www.accessengineeringlibrary.com/content/book/9781259860386</t>
  </si>
  <si>
    <t>Fundamentals of Engineering FE Civil All-in-One Exam Guide</t>
  </si>
  <si>
    <t>https://www.accessengineeringlibrary.com/content/book/9781260011340</t>
  </si>
  <si>
    <t>Manufacturing Planning and Control for Supply Chain Management: The CPIM Reference, Second Edition</t>
  </si>
  <si>
    <t>Operations management | Production engineering | Materials handling</t>
  </si>
  <si>
    <t>https://www.accessengineeringlibrary.com/content/book/9781260108385</t>
  </si>
  <si>
    <t>Materials for Civil Engineering: Properties and Applications in Infrastructure</t>
  </si>
  <si>
    <t>Luke S. Lee, Ph.D., P.E.</t>
  </si>
  <si>
    <t>https://www.accessengineeringlibrary.com/content/book/9781259862618</t>
  </si>
  <si>
    <t>Construction Planning, Equipment, and Methods, Ninth Edition</t>
  </si>
  <si>
    <t>Robert L. Peurifoy, P.E.</t>
  </si>
  <si>
    <t>https://www.accessengineeringlibrary.com/content/book/9781260108804</t>
  </si>
  <si>
    <t>Handbook of Environmental Engineering</t>
  </si>
  <si>
    <t>Rao Y. Surampalli, Ph.D., P.E., BCEE, Dist.M.ASCE</t>
  </si>
  <si>
    <t>https://www.accessengineeringlibrary.com/content/book/9781259860225</t>
  </si>
  <si>
    <t>Structural Engineering Handbook, Fifth Edition</t>
  </si>
  <si>
    <t>Mustafa Mahamid, Ph.D., S.E., P.E., P.Eng., F.SEI, F.ASCE, F.ACI</t>
  </si>
  <si>
    <t>https://www.accessengineeringlibrary.com/content/book/9781260115987</t>
  </si>
  <si>
    <t>HVAC Licensing Study Guide, Third Edition</t>
  </si>
  <si>
    <t>Rex Miller</t>
  </si>
  <si>
    <t>Thermal engineering | Power engineering | Chemical processes</t>
  </si>
  <si>
    <t>https://www.accessengineeringlibrary.com/content/book/9781260116007</t>
  </si>
  <si>
    <t>Foundation Engineering: Geotechnical Principles and Practical Applications</t>
  </si>
  <si>
    <t>Richard L. Handy, Ph.D.</t>
  </si>
  <si>
    <t>https://www.accessengineeringlibrary.com/content/book/9781260026030</t>
  </si>
  <si>
    <t>DIY Drones for the Evil Genius: Design, Build, and Customize Your Own Drones</t>
  </si>
  <si>
    <t>Ian Cinnamon</t>
  </si>
  <si>
    <t>https://www.accessengineeringlibrary.com/content/book/9781259861468</t>
  </si>
  <si>
    <t>Hacking Electronics: Learning Electronics with Arduino and Raspberry Pi, Second Edition</t>
  </si>
  <si>
    <t>Electronics engineering | Power engineering | Makerspace electronics</t>
  </si>
  <si>
    <t>https://www.accessengineeringlibrary.com/content/book/9781260012200</t>
  </si>
  <si>
    <t>Arduino and Raspberry Pi Sensor Projects for the Evil Genius</t>
  </si>
  <si>
    <t>Robert Chin</t>
  </si>
  <si>
    <t>https://www.accessengineeringlibrary.com/content/book/9781260010893</t>
  </si>
  <si>
    <t>2018 International Building Code Illustrated Handbook</t>
  </si>
  <si>
    <t>https://www.accessengineeringlibrary.com/content/book/9781260132298</t>
  </si>
  <si>
    <t>Water and Wastewater Engineering: Design Principles and Practice, Second Edition</t>
  </si>
  <si>
    <t>Mackenzie L. Davis, Ph.D., P.E., BCEE</t>
  </si>
  <si>
    <t>Waste engineering | Water treatment | Wastewater engineering</t>
  </si>
  <si>
    <t>https://www.accessengineeringlibrary.com/content/book/9781260132274</t>
  </si>
  <si>
    <t>Adaptive Space: How GM and Other Companies Are Positively Disrupting Themselves and Transforming into Agile Organizations</t>
  </si>
  <si>
    <t>Michael J. Arena, Ph.D.</t>
  </si>
  <si>
    <t>Leadership | Business communication</t>
  </si>
  <si>
    <t>https://www.accessengineeringlibrary.com/content/book/9781260118025</t>
  </si>
  <si>
    <t>Cross-Laminated Timber Design: Structural Properties, Standards, and Safety</t>
  </si>
  <si>
    <t>https://www.accessengineeringlibrary.com/content/book/9781260117998</t>
  </si>
  <si>
    <t>Process/Industrial Instruments and Controls Handbook, Sixth Edition</t>
  </si>
  <si>
    <t>Control engineering | Electronics engineering | Fluid mechanics</t>
  </si>
  <si>
    <t>https://www.accessengineeringlibrary.com/content/book/9781260117974</t>
  </si>
  <si>
    <t>Development of the Built Environment: From Site Acquisition to Project Completion</t>
  </si>
  <si>
    <t>Dewberry</t>
  </si>
  <si>
    <t>Land development | Finance | Engineering economics</t>
  </si>
  <si>
    <t>https://www.accessengineeringlibrary.com/content/book/9781260440737</t>
  </si>
  <si>
    <t>Structural Load Determination: 2018 IBC and ASCE/SEI 7-16</t>
  </si>
  <si>
    <t>David A. Fanella, Ph.D., S.E., P.E., F.ASCE, F.SEI, F.ACI</t>
  </si>
  <si>
    <t>https://www.accessengineeringlibrary.com/content/book/9781260135626</t>
  </si>
  <si>
    <t>Robot Builder's Bonanza, Fifth Edition</t>
  </si>
  <si>
    <t>Makerspace robotics</t>
  </si>
  <si>
    <t>https://www.accessengineeringlibrary.com/content/book/9781260135015</t>
  </si>
  <si>
    <t>Airport Planning &amp; Management, Seventh Edition</t>
  </si>
  <si>
    <t>https://www.accessengineeringlibrary.com/content/book/9781260143324</t>
  </si>
  <si>
    <t>Synthetic Fuels Handbook: Properties, Process, and Performance, Second Edition</t>
  </si>
  <si>
    <t>https://www.accessengineeringlibrary.com/content/book/9781260128963</t>
  </si>
  <si>
    <t>2018 International Existing Building Code Handbook</t>
  </si>
  <si>
    <t>Chris Kimball, SE, MCP, CBO</t>
  </si>
  <si>
    <t>Construction management | Construction engineering | Structural engineering</t>
  </si>
  <si>
    <t>https://www.accessengineeringlibrary.com/content/book/9781260134780</t>
  </si>
  <si>
    <t>Polymer Nanocomposites: Processing, Characterization, and Applications, Second Edition</t>
  </si>
  <si>
    <t>Joseph H. Koo, Sc.D.</t>
  </si>
  <si>
    <t>https://www.accessengineeringlibrary.com/content/book/9781260132311</t>
  </si>
  <si>
    <t>Troubleshooting Electronic Circuits: A Guide to Learning Analog Electronics</t>
  </si>
  <si>
    <t>https://www.accessengineeringlibrary.com/content/book/9781260143560</t>
  </si>
  <si>
    <t>Land Development Handbook, Fourth Edition</t>
  </si>
  <si>
    <t>Land development | Construction engineering | Infrastructure</t>
  </si>
  <si>
    <t>https://www.accessengineeringlibrary.com/content/book/9781260440751</t>
  </si>
  <si>
    <t>Quantum Computing: A Beginner's Introduction</t>
  </si>
  <si>
    <t>Parag K. Lala, Ph.D.</t>
  </si>
  <si>
    <t>Quantum computing | Solid mechanics | Structural engineering</t>
  </si>
  <si>
    <t>https://www.accessengineeringlibrary.com/content/book/9781260123111</t>
  </si>
  <si>
    <t>Design of Wood Structuresâ€”ASD/LRFD, Eighth Edition</t>
  </si>
  <si>
    <t>https://www.accessengineeringlibrary.com/content/book/9781260128673</t>
  </si>
  <si>
    <t>Learn Aspen Plus in 24 Hours</t>
  </si>
  <si>
    <t>Thomas A. Adams II</t>
  </si>
  <si>
    <t>Transport phenomena | Engineering problem solving | Mechanical thermodynamics</t>
  </si>
  <si>
    <t>https://www.accessengineeringlibrary.com/content/book/9781260116458</t>
  </si>
  <si>
    <t>Fabrication and Application of Nanomaterials</t>
  </si>
  <si>
    <t>Sulalit Bandyopadhyay</t>
  </si>
  <si>
    <t>Materials | Chemical processes | Materials applications</t>
  </si>
  <si>
    <t>https://www.accessengineeringlibrary.com/content/book/9781260132236</t>
  </si>
  <si>
    <t>Structural Steel Designer's Handbook, Sixth Edition</t>
  </si>
  <si>
    <t>Roger L. Brockenbrough, P.E., F.ASCE</t>
  </si>
  <si>
    <t>https://www.accessengineeringlibrary.com/content/book/9781260440799</t>
  </si>
  <si>
    <t>Maintenance Planning and Scheduling Handbook, Fourth Edition</t>
  </si>
  <si>
    <t>Richard D. Palmer, PE, MBA, CMRP</t>
  </si>
  <si>
    <t>Maintenance engineering | Quality engineering</t>
  </si>
  <si>
    <t>https://www.accessengineeringlibrary.com/content/book/9781260135282</t>
  </si>
  <si>
    <t>Handbook of Corrosion Engineering, Third Edition</t>
  </si>
  <si>
    <t>https://www.accessengineeringlibrary.com/content/book/9781260116977</t>
  </si>
  <si>
    <t>The Product Manager's Survival Guide: Everything You Need to Know to Succeed as a Product Manager, Second Edition</t>
  </si>
  <si>
    <t>Product management</t>
  </si>
  <si>
    <t>https://www.accessengineeringlibrary.com/content/book/9781260135237</t>
  </si>
  <si>
    <t>Lean Six Sigma in the Age of Artificial Intelligence: Harnessing the Power of the Fourth Industrial Revolution</t>
  </si>
  <si>
    <t>Michael L. George Sr.</t>
  </si>
  <si>
    <t>Artificial intelligence | Production engineering | Operations management</t>
  </si>
  <si>
    <t>https://www.accessengineeringlibrary.com/content/book/9781260135039</t>
  </si>
  <si>
    <t>Handbook of Nondestructive Evaluation, Third Edition</t>
  </si>
  <si>
    <t>Materials applications | Optical engineering | Acoustical engineering</t>
  </si>
  <si>
    <t>https://www.accessengineeringlibrary.com/content/book/9781260441437</t>
  </si>
  <si>
    <t>Law for Professional Engineers: Canadian and Global Insights, Fifth Edition</t>
  </si>
  <si>
    <t>Donald L. Marston, J.D., P.Eng.</t>
  </si>
  <si>
    <t>Engineering ethics</t>
  </si>
  <si>
    <t>https://www.accessengineeringlibrary.com/content/book/9781260135909</t>
  </si>
  <si>
    <t>Target Funding: A Proven System to Get the Money &amp;  Resources You Need to Start or Grow Your Business</t>
  </si>
  <si>
    <t>Kedma Ough, MBA</t>
  </si>
  <si>
    <t>Finance | Engineering economics</t>
  </si>
  <si>
    <t>https://www.accessengineeringlibrary.com/content/book/9781260132366</t>
  </si>
  <si>
    <t>Environmental Biotechnology: Principles and Applications</t>
  </si>
  <si>
    <t>Bruce E. Rittmann</t>
  </si>
  <si>
    <t>https://www.accessengineeringlibrary.com/content/book/9781260440591</t>
  </si>
  <si>
    <t>Troubleshooting and Repairing Diesel Engines, 5th Edition</t>
  </si>
  <si>
    <t>Paul Dempsey</t>
  </si>
  <si>
    <t>Power engineering | Fuels | Fluid mechanics</t>
  </si>
  <si>
    <t>https://www.accessengineeringlibrary.com/content/book/9781260116434</t>
  </si>
  <si>
    <t>How We Make Stuff Now: Turn Ideas into Products That Build Successful Businesses</t>
  </si>
  <si>
    <t>Jules Pieri</t>
  </si>
  <si>
    <t>Product management | Operations management | Marketing</t>
  </si>
  <si>
    <t>https://www.accessengineeringlibrary.com/content/book/9781260135855</t>
  </si>
  <si>
    <t>LabVIEW Graphical Programming, Fifth Edition</t>
  </si>
  <si>
    <t>Richard Jennings</t>
  </si>
  <si>
    <t>Computer programming</t>
  </si>
  <si>
    <t>https://www.accessengineeringlibrary.com/content/book/9781260135268</t>
  </si>
  <si>
    <t>Fundamentals of Industrial Instrumentation and Process Control, Second Edition</t>
  </si>
  <si>
    <t>William C. Dunn</t>
  </si>
  <si>
    <t>Transport phenomena | Fluid mechanics | Electronics engineering</t>
  </si>
  <si>
    <t>https://www.accessengineeringlibrary.com/content/book/9781260122251</t>
  </si>
  <si>
    <t>Programming the BBC micro:bit: Getting Started with MicroPython</t>
  </si>
  <si>
    <t>https://www.accessengineeringlibrary.com/content/book/9781260117585</t>
  </si>
  <si>
    <t>Electrical Safety Handbook, Fifth Edition</t>
  </si>
  <si>
    <t>Dennis K. Neitzel, C.P.E., C.E.S.C.P.</t>
  </si>
  <si>
    <t>Safety engineering | Electronics engineering | Power engineering</t>
  </si>
  <si>
    <t>https://www.accessengineeringlibrary.com/content/book/9781260134858</t>
  </si>
  <si>
    <t>Internal Combustion Engine Fundamentals, Second Edition</t>
  </si>
  <si>
    <t>John B. Heywood</t>
  </si>
  <si>
    <t>Power engineering | Fuels</t>
  </si>
  <si>
    <t>https://www.accessengineeringlibrary.com/content/book/9781260116106</t>
  </si>
  <si>
    <t>Materials and Manufacturing: An Introduction to How They Work and Why It Matters</t>
  </si>
  <si>
    <t>Mark A. Atwater, Ph.D.</t>
  </si>
  <si>
    <t>https://www.accessengineeringlibrary.com/content/book/9781260122312</t>
  </si>
  <si>
    <t>Computer Systems: An Embedded Approach</t>
  </si>
  <si>
    <t>Ian Vince McLoughlin</t>
  </si>
  <si>
    <t>Computer hardware | Information technology | Computer networks</t>
  </si>
  <si>
    <t>https://www.accessengineeringlibrary.com/content/book/9781260117608</t>
  </si>
  <si>
    <t>Structural Fire Engineering</t>
  </si>
  <si>
    <t>Venkatesh Kumar R. Kodur, Ph.D., P.Eng.</t>
  </si>
  <si>
    <t>Construction engineering | Safety engineering | Materials</t>
  </si>
  <si>
    <t>https://www.accessengineeringlibrary.com/content/book/9781260128581</t>
  </si>
  <si>
    <t>Six Sigma Handbook, Fifth Edition</t>
  </si>
  <si>
    <t>https://www.accessengineeringlibrary.com/content/book/9781260121827</t>
  </si>
  <si>
    <t>Construction Practices for Land Development: A Field Guide for Civil Engineers</t>
  </si>
  <si>
    <t>Construction engineering | Construction management | Project management</t>
  </si>
  <si>
    <t>https://www.accessengineeringlibrary.com/content/book/9781260440775</t>
  </si>
  <si>
    <t>Schaum's Outline of Electromagnetics, Fifth Edition</t>
  </si>
  <si>
    <t>Earth sciences | Physics</t>
  </si>
  <si>
    <t>https://www.accessengineeringlibrary.com/content/book/9781260120974</t>
  </si>
  <si>
    <t>Schaum's Outline of College Algebra, Fifth Edition</t>
  </si>
  <si>
    <t>Dr. Robert E. Moyer</t>
  </si>
  <si>
    <t>Algebra</t>
  </si>
  <si>
    <t>https://www.accessengineeringlibrary.com/content/book/9781260120769</t>
  </si>
  <si>
    <t>Practical Hydrogeology: Principles and Field Applications, Third Edition</t>
  </si>
  <si>
    <t>Willis D. Weight, Ph.D., P.E.</t>
  </si>
  <si>
    <t>https://www.accessengineeringlibrary.com/content/book/9781260116892</t>
  </si>
  <si>
    <t>Schaum's Outline of Biology, Fifth Edition</t>
  </si>
  <si>
    <t>George H. Fried, Ph.D.</t>
  </si>
  <si>
    <t>https://www.accessengineeringlibrary.com/content/book/9781260120783</t>
  </si>
  <si>
    <t>Aircraft Maintenance &amp; Repair, Eighth Edition</t>
  </si>
  <si>
    <t>Dr. Ronald Sterkenburg</t>
  </si>
  <si>
    <t>Materials applications | Aircraft | Aircraft systems</t>
  </si>
  <si>
    <t>https://www.accessengineeringlibrary.com/content/book/9781260441055</t>
  </si>
  <si>
    <t>Programming Arduino Next Steps: Going Further with Sketches, Second Edition</t>
  </si>
  <si>
    <t>https://www.accessengineeringlibrary.com/content/book/9781260143249</t>
  </si>
  <si>
    <t>HVAC Design Sourcebook, Second Edition</t>
  </si>
  <si>
    <t>W. Larsen Angel, P.E., LEED AP</t>
  </si>
  <si>
    <t>Heating ventilation and air conditioning | Pressure vessels and piping | Fluid mechanics</t>
  </si>
  <si>
    <t>https://www.accessengineeringlibrary.com/content/book/9781260457247</t>
  </si>
  <si>
    <t>End-to-End Mobile Communications: Evolution to 5G</t>
  </si>
  <si>
    <t>Syed S. Husain, M.Sc.</t>
  </si>
  <si>
    <t>https://www.accessengineeringlibrary.com/content/book/9781260460254</t>
  </si>
  <si>
    <t>Roark's Formulas for Stress and Strain, Ninth Edition</t>
  </si>
  <si>
    <t>Richard G. Budynas</t>
  </si>
  <si>
    <t>https://www.accessengineeringlibrary.com/content/book/9781260453751</t>
  </si>
  <si>
    <t>Practical Electronic Design for Experimenters</t>
  </si>
  <si>
    <t>Louis E. Frenzel, Jr.</t>
  </si>
  <si>
    <t>https://www.accessengineeringlibrary.com/content/book/9781260456158</t>
  </si>
  <si>
    <t>Schaum's Outline of Strength of Materials, Seventh Edition</t>
  </si>
  <si>
    <t>https://www.accessengineeringlibrary.com/content/book/9781260456547</t>
  </si>
  <si>
    <t>Fail More: Embrace, Learn, and Adapt to Failure as a Way to Success</t>
  </si>
  <si>
    <t>Bill Wooditch</t>
  </si>
  <si>
    <t>Innovation</t>
  </si>
  <si>
    <t>https://www.accessengineeringlibrary.com/content/book/9781260441512</t>
  </si>
  <si>
    <t>Advanced Signal Processing: A Concise Guide</t>
  </si>
  <si>
    <t>Amir-Homayoon Najmi</t>
  </si>
  <si>
    <t>https://www.accessengineeringlibrary.com/content/book/9781260458930</t>
  </si>
  <si>
    <t>Schaum's Outline of Signals and Systems, Fourth Edition</t>
  </si>
  <si>
    <t>Signal processing | Control engineering</t>
  </si>
  <si>
    <t>https://www.accessengineeringlibrary.com/content/book/9781260454246</t>
  </si>
  <si>
    <t>Schaum's Outline of Precalculus, Fourth Edition</t>
  </si>
  <si>
    <t>Fred Safier</t>
  </si>
  <si>
    <t>https://www.accessengineeringlibrary.com/content/book/9781260454208</t>
  </si>
  <si>
    <t>Schaum's Outline of Physics for Engineering and Science, Fourth Edition</t>
  </si>
  <si>
    <t>Michael E. Browne, PhD</t>
  </si>
  <si>
    <t>https://www.accessengineeringlibrary.com/content/book/9781260453836</t>
  </si>
  <si>
    <t>Applied Machine Learning</t>
  </si>
  <si>
    <t>M. Gopal</t>
  </si>
  <si>
    <t>Artificial intelligence | Data science</t>
  </si>
  <si>
    <t>https://www.accessengineeringlibrary.com/content/book/9781260456844</t>
  </si>
  <si>
    <t>HANDBOOK OF BIOMEDICAL INSTRUMENTATION, THIRD EDITION</t>
  </si>
  <si>
    <t>Biomedical engineering | Electronics engineering | Optical engineering</t>
  </si>
  <si>
    <t>https://www.accessengineeringlibrary.com/content/book/9789339205430</t>
  </si>
  <si>
    <t>Schaum's Outline of Thermodynamics for Engineers, Fourth Edition</t>
  </si>
  <si>
    <t>Mechanical thermodynamics | Chemical thermodynamics | Transport phenomena</t>
  </si>
  <si>
    <t>https://www.accessengineeringlibrary.com/content/book/9781260456523</t>
  </si>
  <si>
    <t>Energy Efficiency and Management for Engineers</t>
  </si>
  <si>
    <t>Mehmet KanoÄźlu</t>
  </si>
  <si>
    <t>Power engineering | Mechanical thermodynamics | Transport phenomena</t>
  </si>
  <si>
    <t>https://www.accessengineeringlibrary.com/content/book/9781260459098</t>
  </si>
  <si>
    <t>Modern Control: State-Space Analysis and Design Methods</t>
  </si>
  <si>
    <t>Dr. Arie Nakhmani</t>
  </si>
  <si>
    <t>Control engineering | Communications engineering | Signal processing</t>
  </si>
  <si>
    <t>https://www.accessengineeringlibrary.com/content/book/9781260459241</t>
  </si>
  <si>
    <t>Analog Integrated Circuit Design by Simulation: Techniques, Tools, and Methods</t>
  </si>
  <si>
    <t>UÄźur Ă‡ilingiroÄźlu</t>
  </si>
  <si>
    <t>https://www.accessengineeringlibrary.com/content/book/9781260441451</t>
  </si>
  <si>
    <t>Electromagnetic Fields and Waves: Fundamentals of Engineering</t>
  </si>
  <si>
    <t>Sedki M. Riad, Ph.D., P.E.</t>
  </si>
  <si>
    <t>https://www.accessengineeringlibrary.com/content/book/9781260457148</t>
  </si>
  <si>
    <t>Environmental Biotechnology: Principles and Applications, Second Edition</t>
  </si>
  <si>
    <t>Bruce E. Rittmann, Ph.D.</t>
  </si>
  <si>
    <t>Waste engineering | Wastewater engineering | Biology</t>
  </si>
  <si>
    <t>https://www.accessengineeringlibrary.com/content/book/9781260441604</t>
  </si>
  <si>
    <t>A DIY Smart Home Guide: Tools for Automating Your Home Monitoring and Security Using Arduino, ESP8266, and Android</t>
  </si>
  <si>
    <t>Electronics engineering | Communications engineering | Makerspace electronics</t>
  </si>
  <si>
    <t>https://www.accessengineeringlibrary.com/content/book/9781260456134</t>
  </si>
  <si>
    <t>Tanmay Teaches Julia for Beginners: A Springboard to Machine Learning for All Ages</t>
  </si>
  <si>
    <t>Tanmay Bakshi</t>
  </si>
  <si>
    <t>Artificial intelligence | Computer programming</t>
  </si>
  <si>
    <t>https://www.accessengineeringlibrary.com/content/book/9781260456639</t>
  </si>
  <si>
    <t>Geometric Dimensioning and Tolerancing for Mechanical Design, 3E</t>
  </si>
  <si>
    <t>Machine design | Production engineering</t>
  </si>
  <si>
    <t>https://www.accessengineeringlibrary.com/content/book/9781260453782</t>
  </si>
  <si>
    <t>Fundamentals and Applications of Renewable Energy</t>
  </si>
  <si>
    <t>https://www.accessengineeringlibrary.com/content/book/9781260455304</t>
  </si>
  <si>
    <t>Cardiovascular Engineering: A Protective Approach</t>
  </si>
  <si>
    <t>Shu Q. Liu</t>
  </si>
  <si>
    <t>Biomedical engineering</t>
  </si>
  <si>
    <t>https://www.accessengineeringlibrary.com/content/book/9781260457643</t>
  </si>
  <si>
    <t>Schaum's Outline of Probability, Random Variables, and Random Processes, Fourth Edition</t>
  </si>
  <si>
    <t>https://www.accessengineeringlibrary.com/content/book/9781260453812</t>
  </si>
  <si>
    <t>Pavement Design: Materials, Analysis, and Highways</t>
  </si>
  <si>
    <t>M. Rashad Islam, Ph.D., P.E.</t>
  </si>
  <si>
    <t>Infrastructure | Transportation engineering | Geotechnical engineering</t>
  </si>
  <si>
    <t>https://www.accessengineeringlibrary.com/content/book/9781260458916</t>
  </si>
  <si>
    <t>Operations Engineering and Management: Concepts, Analytics, and Principles for Improvement</t>
  </si>
  <si>
    <t>Seyed M. R. Iravani</t>
  </si>
  <si>
    <t>Process engineering | Quality engineering | Operations management</t>
  </si>
  <si>
    <t>https://www.accessengineeringlibrary.com/content/book/9781260461831</t>
  </si>
  <si>
    <t>Civil Engineering PE All-in-One Exam Guide: Breadth and Depth, Fourth Edition</t>
  </si>
  <si>
    <t>https://www.accessengineeringlibrary.com/content/book/9781260457223</t>
  </si>
  <si>
    <t>Flood and Tsunami Loads: Time-Saving Methods Using the 2018 IBC and ASCE/SEI 7-16</t>
  </si>
  <si>
    <t>David A. Fanella</t>
  </si>
  <si>
    <t>Structural engineering | Solid mechanics | Geotechnical engineering</t>
  </si>
  <si>
    <t>https://www.accessengineeringlibrary.com/content/book/9781260461503</t>
  </si>
  <si>
    <t>Rain, Snow, and Ice Loads: Time-Saving Methods Using the 2018 IBC and ASCE/SEI 7-16</t>
  </si>
  <si>
    <t>https://www.accessengineeringlibrary.com/content/book/9781260461527</t>
  </si>
  <si>
    <t>Performance and Security for the Internet of Things: Emerging Wireless Technologies</t>
  </si>
  <si>
    <t>Haya Shajaiah, Ph.D.</t>
  </si>
  <si>
    <t>Communications engineering | Power engineering | Security engineering</t>
  </si>
  <si>
    <t>https://www.accessengineeringlibrary.com/content/book/9781260460353</t>
  </si>
  <si>
    <t>Principles of Biofuels and Hydrogen Gas: Production and Engine Performance</t>
  </si>
  <si>
    <t>Fuels | Power engineering</t>
  </si>
  <si>
    <t>https://www.accessengineeringlibrary.com/content/book/9781260456424</t>
  </si>
  <si>
    <t>Industrial Electricity and Motor Controls, Second Edition</t>
  </si>
  <si>
    <t>https://www.accessengineeringlibrary.com/content/book/9780071818698</t>
  </si>
  <si>
    <t>Schaum's Outline of Engineering Mechanics: Statics, Seventh Edition</t>
  </si>
  <si>
    <t>https://www.accessengineeringlibrary.com/content/book/9781260462883</t>
  </si>
  <si>
    <t>Create, Share, and Save Money Using Open-Source Projects</t>
  </si>
  <si>
    <t>Dr. Joshua M. Pearce</t>
  </si>
  <si>
    <t>Makerspace</t>
  </si>
  <si>
    <t>https://www.accessengineeringlibrary.com/content/book/9781260461763</t>
  </si>
  <si>
    <t>Structural Renovation of Buildings: Methods, Details, and Design Examples, Second Edition</t>
  </si>
  <si>
    <t>Alexander Newman, P.E., MBA, F.ASCE</t>
  </si>
  <si>
    <t>https://www.accessengineeringlibrary.com/content/book/9781260458336</t>
  </si>
  <si>
    <t>Engineering Ethics and Design for Product Safety</t>
  </si>
  <si>
    <t>Kenneth L. d'Entremont, Ph.D., P.E.</t>
  </si>
  <si>
    <t>Safety engineering | Quality engineering | Engineering ethics</t>
  </si>
  <si>
    <t>https://www.accessengineeringlibrary.com/content/book/9781260460537</t>
  </si>
  <si>
    <t>Schaum's Outline of Fluid Mechanics, Second Edition</t>
  </si>
  <si>
    <t>https://www.accessengineeringlibrary.com/content/book/9781260462845</t>
  </si>
  <si>
    <t>Electric Vehicle Engineering</t>
  </si>
  <si>
    <t>Per Enge, Ph.D., M.S., B.S.</t>
  </si>
  <si>
    <t>Power engineering | Transportation engineering | Sustainability</t>
  </si>
  <si>
    <t>https://www.accessengineeringlibrary.com/content/book/9781260464078</t>
  </si>
  <si>
    <t>Schaum's Outline of Engineering Mechanics: Dynamics, Seventh Edition</t>
  </si>
  <si>
    <t>https://www.accessengineeringlibrary.com/content/book/9781260462869</t>
  </si>
  <si>
    <t>Simulation and Analysis of Modern Power Systems</t>
  </si>
  <si>
    <t>Ranjana Sodhi</t>
  </si>
  <si>
    <t>https://www.accessengineeringlibrary.com/content/book/9781260464504</t>
  </si>
  <si>
    <t>Wind Loads: Time-Saving Methods Using the 2018 IBC and ASCE/SEI 7-16</t>
  </si>
  <si>
    <t>David A Fanella</t>
  </si>
  <si>
    <t>Structural engineering | Fluid mechanics | Transport phenomena</t>
  </si>
  <si>
    <t>https://www.accessengineeringlibrary.com/content/book/9781260467420</t>
  </si>
  <si>
    <t>Handbook of Adhesives and Sealants, Third Edition</t>
  </si>
  <si>
    <t>https://www.accessengineeringlibrary.com/content/book/9781260440447</t>
  </si>
  <si>
    <t>Machine Learning and Deep Learning Using Python and TensorFlow</t>
  </si>
  <si>
    <t>Venkata Reddy Konasani</t>
  </si>
  <si>
    <t>https://www.accessengineeringlibrary.com/content/book/9781260462296</t>
  </si>
  <si>
    <t>Standard Aircraft Handbook for Mechanics and Technicians, Eighth Edition</t>
  </si>
  <si>
    <t>Ronald Sterkenburg</t>
  </si>
  <si>
    <t>Materials applications | Aircraft systems | Aircraft</t>
  </si>
  <si>
    <t>https://www.accessengineeringlibrary.com/content/book/9781260468922</t>
  </si>
  <si>
    <t>Parent Book</t>
  </si>
  <si>
    <t>Videos</t>
  </si>
  <si>
    <t>10% Infill and a Bridge</t>
  </si>
  <si>
    <t>Lydia Cline, Professor, Drafting, Johnson County Community College, Overland Park, KS</t>
  </si>
  <si>
    <t>3d printing | CNC fabrication | SketchUp</t>
  </si>
  <si>
    <t>https://www.accessengineeringlibrary.com/content/video/V4768153299001</t>
  </si>
  <si>
    <t>123D Design: Cut Text Through a Plane</t>
  </si>
  <si>
    <t>3d printing | Autodesk 123D | Tinkercad | MakerBot</t>
  </si>
  <si>
    <t>https://www.accessengineeringlibrary.com/content/video/V4005352521001</t>
  </si>
  <si>
    <t>123D Design: Frog in a Teacup</t>
  </si>
  <si>
    <t>https://www.accessengineeringlibrary.com/content/video/V4005352532001</t>
  </si>
  <si>
    <t>123D Design: Import an Svg File to Make a Pendant</t>
  </si>
  <si>
    <t>https://www.accessengineeringlibrary.com/content/video/V4005352531001</t>
  </si>
  <si>
    <t>123D Design: Interface</t>
  </si>
  <si>
    <t>https://www.accessengineeringlibrary.com/content/video/V4005352529001</t>
  </si>
  <si>
    <t>123D Design: Make a Pacman Ghost</t>
  </si>
  <si>
    <t>https://www.accessengineeringlibrary.com/content/video/V4005352519001</t>
  </si>
  <si>
    <t>123D Design: Make a Sun Sculpture</t>
  </si>
  <si>
    <t>https://www.accessengineeringlibrary.com/content/video/V4005352530001</t>
  </si>
  <si>
    <t>123D Design: Personalize a Business Card</t>
  </si>
  <si>
    <t>https://www.accessengineeringlibrary.com/content/video/V4005352523001</t>
  </si>
  <si>
    <t>123D Design: Place an Svg File or Text on a Curved Surface</t>
  </si>
  <si>
    <t>https://www.accessengineeringlibrary.com/content/video/V4005352528001</t>
  </si>
  <si>
    <t>123D Design: Project and Trim Tools</t>
  </si>
  <si>
    <t>https://www.accessengineeringlibrary.com/content/video/V4005352518001</t>
  </si>
  <si>
    <t>123D Design: Trim and Extend Tools</t>
  </si>
  <si>
    <t>https://www.accessengineeringlibrary.com/content/video/V4005352522001</t>
  </si>
  <si>
    <t>123D Meshmixer: Make a Custom Stamp</t>
  </si>
  <si>
    <t>https://www.accessengineeringlibrary.com/content/video/V4005352526001</t>
  </si>
  <si>
    <t>123D Meshmixer: The Select Tool</t>
  </si>
  <si>
    <t>https://www.accessengineeringlibrary.com/content/video/V4005352520001</t>
  </si>
  <si>
    <t>123D Meshmixer: Use a  Head Capture to make a Candy Jug</t>
  </si>
  <si>
    <t>https://www.accessengineeringlibrary.com/content/video/V4005352525001</t>
  </si>
  <si>
    <t>2015 International Building Code Illustrated Handbook: Application Example 1005-4 Egress Width Distribution</t>
  </si>
  <si>
    <t>2015 International Building Code| Illustrated Handbook</t>
  </si>
  <si>
    <t>Andrew Klein, PE, Fire Protection Engineer, A S Klein Engineering, PLLC</t>
  </si>
  <si>
    <t>International building code | Occupant load | Doors | Construction permits | Communication systems | Sprinkler systems</t>
  </si>
  <si>
    <t>https://www.accessengineeringlibrary.com/content/video/V4810699113001</t>
  </si>
  <si>
    <t>2015 International Building Code Illustrated Handbook: Application Example 2902-1 Minimum Required Plumbing Fixtures</t>
  </si>
  <si>
    <t>Plumbing fixtures | International building code | Occupant load | Building codes | Code requirements | Resultant number</t>
  </si>
  <si>
    <t>https://www.accessengineeringlibrary.com/content/video/V4810699114001</t>
  </si>
  <si>
    <t>2015 International Building Code Illustrated Handbook: Application Example 307-1 Maximum Allowable Quantity per Control Area</t>
  </si>
  <si>
    <t>International building code | Area allowance | Occupancy classification | Code requirements | Chemical hazards | Chemical storage</t>
  </si>
  <si>
    <t>https://www.accessengineeringlibrary.com/content/video/V4810703455001</t>
  </si>
  <si>
    <t>2015 International Building Code Illustrated Handbook: Application Example 508-3 Nonseparated Occupancies</t>
  </si>
  <si>
    <t>International building code | Occupancy classification | Fire protection | Code requirements | Area allowance | Occupant load</t>
  </si>
  <si>
    <t>https://www.accessengineeringlibrary.com/content/video/V4810674913001</t>
  </si>
  <si>
    <t>2015 International Building Code Illustrated Handbook: Application Example 705-1 Exterior Openings</t>
  </si>
  <si>
    <t>International building code | Exterior walls | Fire separation distance | Fire protection | Occupancy classification | Construction types</t>
  </si>
  <si>
    <t>https://www.accessengineeringlibrary.com/content/video/V4810703456001</t>
  </si>
  <si>
    <t>2015 International Building Code Illustrated Handbook: Application Example 901-2 Fire Area</t>
  </si>
  <si>
    <t>Kevin Scott, President, KH Scott &amp; Associates LLC, former Deputy Chief, Kern County Fire Department, former Senior Regional Manager with ICC</t>
  </si>
  <si>
    <t>International fire code | International building code | Fire barriers | Fire separation distance | Fire sprinklers | Fire resistance rating</t>
  </si>
  <si>
    <t>https://www.accessengineeringlibrary.com/content/video/V4810703454001</t>
  </si>
  <si>
    <t>2015 International Building Code Illustrated Handbook: Calculated Fire-resistance Â§722</t>
  </si>
  <si>
    <t>International building code | Fire resistance | Fire resistance rating | Wall sections | Walls | Gypsum wallboard</t>
  </si>
  <si>
    <t>https://www.accessengineeringlibrary.com/content/video/V4810699110001</t>
  </si>
  <si>
    <t>2015 International Building Code Illustrated Handbook: Control Areas Â§307.1, Â§414.2.1</t>
  </si>
  <si>
    <t>International building code | Area allowance | Occupancy classification | Sprinkler systems | Fire resistant construction | Fire resistance rating</t>
  </si>
  <si>
    <t>https://www.accessengineeringlibrary.com/content/video/V4810699111001</t>
  </si>
  <si>
    <t>2015 International Building Code Illustrated Handbook: Egress Requirements Â§1029</t>
  </si>
  <si>
    <t>International building code | Code requirements | Occupant load | Doors | Communication systems</t>
  </si>
  <si>
    <t>https://www.accessengineeringlibrary.com/content/video/V4810699112001</t>
  </si>
  <si>
    <t>2015 International Building Code Illustrated Handbook: Exempt Sprinkler Locations Â§903.3.1.1.1, Â§904.2.1</t>
  </si>
  <si>
    <t>International building code | Sprinkler systems | Fire sprinklers | Fire alarms | Hazards | Fire detection</t>
  </si>
  <si>
    <t>https://www.accessengineeringlibrary.com/content/video/V4810703448001</t>
  </si>
  <si>
    <t>2015 International Building Code Illustrated Handbook: Fire Alarms and Fire Sprinkler Systems Â§907.2</t>
  </si>
  <si>
    <t>Fire alarms | Sprinkler systems | Fire sprinklers | International building code | Alarm systems | Fire protection</t>
  </si>
  <si>
    <t>https://www.accessengineeringlibrary.com/content/video/V4810674916001</t>
  </si>
  <si>
    <t>2015 International Building Code Illustrated Handbook: Fire Service Access Elevators Â§403.6.1, Â§3007</t>
  </si>
  <si>
    <t>Elevators | International fire code | International building code | Tall buildings | Fire | Design requirements</t>
  </si>
  <si>
    <t>https://www.accessengineeringlibrary.com/content/video/V4810703451001</t>
  </si>
  <si>
    <t>2015 International Building Code Illustrated Handbook: Hazardous Materials - Storage vs Use Â§202, Table 307.1(1)</t>
  </si>
  <si>
    <t>International building code | Area allowance | Corrosion | Hazards | Continuous systems | Valves</t>
  </si>
  <si>
    <t>https://www.accessengineeringlibrary.com/content/video/V4810703449001</t>
  </si>
  <si>
    <t>2015 International Building Code Illustrated Handbook: High-piled Combustible Storage Â§413, Â§903.2.7.1</t>
  </si>
  <si>
    <t>Fire safety | International building code | Fire codes | International fire code | Code requirements | Building codes</t>
  </si>
  <si>
    <t>https://www.accessengineeringlibrary.com/content/video/V4810655019001</t>
  </si>
  <si>
    <t>2015 International Building Code Illustrated Handbook: Standpipe Systems Â§905.3</t>
  </si>
  <si>
    <t>International building code | Code requirements | Fire safety | Sprinkler systems | Fire sprinklers | Stairs</t>
  </si>
  <si>
    <t>https://www.accessengineeringlibrary.com/content/video/V4810674917001</t>
  </si>
  <si>
    <t>AC Power: Example 1</t>
  </si>
  <si>
    <t>Carlotta Berry, Professor, Rose-Hulman Institute of Technology, Electrical and Computer Engineering</t>
  </si>
  <si>
    <t>AC power | Reactive power | Electricity | Electrical engineering | AC circuit analysis | Resistors</t>
  </si>
  <si>
    <t>https://www.accessengineeringlibrary.com/content/video/V1931803550001</t>
  </si>
  <si>
    <t>AC Power: Example 2</t>
  </si>
  <si>
    <t>AC power | Electricity | Electrical engineering | Maximum power transfer theorem | AC circuit analysis | Kirchhoff's current law</t>
  </si>
  <si>
    <t>https://www.accessengineeringlibrary.com/content/video/V1931831088001</t>
  </si>
  <si>
    <t>Actual Mating Envelope</t>
  </si>
  <si>
    <t>Geometric Dimensioning and Tolerancing for Mechanical Design, Second Edition|Geometric Dimensioning and Tolerancing for Mechanical Design, 3E</t>
  </si>
  <si>
    <t>Gene R. Cogorno, Technical Training Consultants</t>
  </si>
  <si>
    <t>Geometric dimensioning and tolerancing | Machine design | Datum features | Datums | Surface features</t>
  </si>
  <si>
    <t>https://www.accessengineeringlibrary.com/content/video/V2433975072001</t>
  </si>
  <si>
    <t>Alkalinity Concepts Video 1: pH of Pristine Rain</t>
  </si>
  <si>
    <t>Henry V. Mott, Professor Emeritus, SD School of Mines and Technology</t>
  </si>
  <si>
    <t>Alkalinity | Water treatment | Water quality | Potable water | Protons | pH</t>
  </si>
  <si>
    <t>https://www.accessengineeringlibrary.com/content/video/V4199138213001</t>
  </si>
  <si>
    <t>Alkalinity Concepts Video 2: Alkalinity of Pristine Rain</t>
  </si>
  <si>
    <t>Alkalinity | Water treatment | Water quality | Potable water | Hardware testing | Titration</t>
  </si>
  <si>
    <t>https://www.accessengineeringlibrary.com/content/video/V4199176147001</t>
  </si>
  <si>
    <t>Alkalinity Concepts Video 3: Analysis of Measured Alkalinity</t>
  </si>
  <si>
    <t>Alkalinity | Water treatment | Water quality | Potable water | Carbon | Titration</t>
  </si>
  <si>
    <t>https://www.accessengineeringlibrary.com/content/video/V4199176151001</t>
  </si>
  <si>
    <t>Alkalinity Concepts Video 4: Alkalinity Error Analysis</t>
  </si>
  <si>
    <t>Alkalinity | Error analysis | Water treatment | Water quality | Potable water | Titration</t>
  </si>
  <si>
    <t>https://www.accessengineeringlibrary.com/content/video/V4199201568001</t>
  </si>
  <si>
    <t xml:space="preserve">All In One Civil Engineering PE Exam Guide: Absolute Volume Method for Design of Concrete Mixes </t>
  </si>
  <si>
    <t>Civil Engineering All-In-One PE Exam Guide: Breadth and Depth, Third Edition|Civil Engineering PE All-in-One Exam Guide: Breadth and Depth, Fourth Edition</t>
  </si>
  <si>
    <t>Indranil Goswami, Ph.D., P.E., Department of Civil Engineering, Morgan State University</t>
  </si>
  <si>
    <t>Civil engineering | Concrete | Concrete mix | Cement | Volume | Fluid specific gravity</t>
  </si>
  <si>
    <t>https://www.accessengineeringlibrary.com/content/video/V4160983798001</t>
  </si>
  <si>
    <t>All In One Civil Engineering PE Exam Guide: Analysis/Design of Axially Loaded Reinforced Concrete Column</t>
  </si>
  <si>
    <t>Civil engineering | Reinforced concrete columns | Axial load | Video compression | Steel | Yield stress</t>
  </si>
  <si>
    <t>https://www.accessengineeringlibrary.com/content/video/V4398272085001</t>
  </si>
  <si>
    <t>All In One Civil Engineering PE Exam Guide: Area of a Closed Traverse using Coordinates</t>
  </si>
  <si>
    <t>Civil engineering | Polygons | Area formulas</t>
  </si>
  <si>
    <t>https://www.accessengineeringlibrary.com/content/video/V4160983797001</t>
  </si>
  <si>
    <t>All In One Civil Engineering PE Exam Guide: Average End Area Method</t>
  </si>
  <si>
    <t>Civil engineering | Earthworks | Volume | Parabolas</t>
  </si>
  <si>
    <t>https://www.accessengineeringlibrary.com/content/video/V4160983796001</t>
  </si>
  <si>
    <t>All In One Civil Engineering PE Exam Guide: Bearing Capacity of Shallow Foundations</t>
  </si>
  <si>
    <t>Bearing capacity | Civil engineering | Shallow foundations | Footings | Soils | Safety factors</t>
  </si>
  <si>
    <t>https://www.accessengineeringlibrary.com/content/video/V4160983802001</t>
  </si>
  <si>
    <t>All In One Civil Engineering PE Exam Guide: Biochemical Oxygen Demand</t>
  </si>
  <si>
    <t>Civil engineering | BOD | BOD ultimate | Wastewater | K value | Water demand</t>
  </si>
  <si>
    <t>https://www.accessengineeringlibrary.com/content/video/V4398262822001</t>
  </si>
  <si>
    <t>All In One Civil Engineering PE Exam Guide: Calculation of Centroid and Moment of Inertia</t>
  </si>
  <si>
    <t>Moment of inertia | Civil engineering | Centers of mass | Geometric centroid | Parallel axis theorem | Flanges</t>
  </si>
  <si>
    <t>https://www.accessengineeringlibrary.com/content/video/V4160983786001</t>
  </si>
  <si>
    <t xml:space="preserve">All In One Civil Engineering PE Exam Guide: Calculation of Normal Stresses in a Section </t>
  </si>
  <si>
    <t>Civil engineering | Normal stress | Girders | Tension | Bending stress | Stress</t>
  </si>
  <si>
    <t>https://www.accessengineeringlibrary.com/content/video/V4160983787001</t>
  </si>
  <si>
    <t>All In One Civil Engineering PE Exam Guide: Chlorination</t>
  </si>
  <si>
    <t>Civil engineering | Free chlorine | Water disinfection | Flow rate | Water demand | Product development</t>
  </si>
  <si>
    <t>https://www.accessengineeringlibrary.com/content/video/V4398329017001</t>
  </si>
  <si>
    <t>All In One Civil Engineering PE Exam Guide: Clear Zone (Roadside Design Guide)</t>
  </si>
  <si>
    <t>Civil engineering | Roadways | Pavement</t>
  </si>
  <si>
    <t>https://www.accessengineeringlibrary.com/content/video/V4398262814001</t>
  </si>
  <si>
    <t>All In One Civil Engineering PE Exam Guide: Construction of a Unit Hydrograph</t>
  </si>
  <si>
    <t>Civil engineering | Unit hydrographs | Precipitation | Watershed areas | Volume | Stream flow</t>
  </si>
  <si>
    <t>https://www.accessengineeringlibrary.com/content/video/V4160983789001</t>
  </si>
  <si>
    <t>All In One Civil Engineering PE Exam Guide: Critical Path Method</t>
  </si>
  <si>
    <t>Civil engineering | Critical path method | Project management techniques | Project management | Activity durations</t>
  </si>
  <si>
    <t>https://www.accessengineeringlibrary.com/content/video/V4160983795001</t>
  </si>
  <si>
    <t>All In One Civil Engineering PE Exam Guide: Drawdown of Groundwater Due to Pumping from an Unconfined Aquifer</t>
  </si>
  <si>
    <t>Aquifers | Civil engineering | Pumping | Water wells | Flow rate | Soils</t>
  </si>
  <si>
    <t>https://www.accessengineeringlibrary.com/content/video/V4398329032001</t>
  </si>
  <si>
    <t>All In One Civil Engineering PE Exam Guide: Hardness in Water</t>
  </si>
  <si>
    <t>Water hardness | Civil engineering | Sulfates | Alkalinity | Equivalent weights | Unit conversion</t>
  </si>
  <si>
    <t>https://www.accessengineeringlibrary.com/content/video/V4398329034001</t>
  </si>
  <si>
    <t>All In One Civil Engineering PE Exam Guide: Highway Geometric Design - Circular Curves</t>
  </si>
  <si>
    <t>Civil engineering | Highways | Highway design | Tangent | Particle scattering | Bearings</t>
  </si>
  <si>
    <t>https://www.accessengineeringlibrary.com/content/video/V4398329019001</t>
  </si>
  <si>
    <t>All In One Civil Engineering PE Exam Guide: Highway Geometric Design - Parabolic Curves</t>
  </si>
  <si>
    <t>Civil engineering | Parabolas | Highways | Highway design | Polyvinyl chloride | Tangent</t>
  </si>
  <si>
    <t>https://www.accessengineeringlibrary.com/content/video/V4398262825001</t>
  </si>
  <si>
    <t xml:space="preserve">All In One Civil Engineering PE Exam Guide: Hydrograph Synthesis </t>
  </si>
  <si>
    <t>Civil engineering | Hydrographs | Unit hydrographs | Precipitation | Unit conversion</t>
  </si>
  <si>
    <t>https://www.accessengineeringlibrary.com/content/video/V4160983790001</t>
  </si>
  <si>
    <t>All In One Civil Engineering PE Exam Guide: Identification of Zero Force Members in a Truss</t>
  </si>
  <si>
    <t>Trusses | Civil engineering | Tension | Static equilibrium | Horizontal wells | Hinges</t>
  </si>
  <si>
    <t>https://www.accessengineeringlibrary.com/content/video/V4160983785001</t>
  </si>
  <si>
    <t>All In One Civil Engineering PE Exam Guide: Influence Line for Truss Member Force</t>
  </si>
  <si>
    <t>Trusses | Civil engineering | Influence lines | Axial members | Loaded members | Cosine</t>
  </si>
  <si>
    <t>https://www.accessengineeringlibrary.com/content/video/V4398262830001</t>
  </si>
  <si>
    <t>All In One Civil Engineering PE Exam Guide: Lateral Pressure due to Fresh Concrete in Forms</t>
  </si>
  <si>
    <t>Concrete | Civil engineering | Formwork | Hydrostatic pressure | Total pressure | Cement</t>
  </si>
  <si>
    <t>https://www.accessengineeringlibrary.com/content/video/V4398272078001</t>
  </si>
  <si>
    <t>All In One Civil Engineering PE Exam Guide: Level of Service for a Freeway Segment</t>
  </si>
  <si>
    <t>Civil engineering | Free flow speed | Development density | Fluid density | Truck traffic | Service flow rate</t>
  </si>
  <si>
    <t>https://www.accessengineeringlibrary.com/content/video/V4398329012001</t>
  </si>
  <si>
    <t>All In One Civil Engineering PE Exam Guide: Longitudinal Shear Stress due to Transverse Load</t>
  </si>
  <si>
    <t>Shear stress | Civil engineering | Shear force | Moment of inertia | Maximum shear stress | Flanges</t>
  </si>
  <si>
    <t>https://www.accessengineeringlibrary.com/content/video/V4160983801001</t>
  </si>
  <si>
    <t>All In One Civil Engineering PE Exam Guide: Method of Sections for Analysis of Trusses</t>
  </si>
  <si>
    <t>Civil engineering | Method of sections | Trusses | Fluidized bed combustion | Substructures | Static equilibrium</t>
  </si>
  <si>
    <t>https://www.accessengineeringlibrary.com/content/video/V4160983784001</t>
  </si>
  <si>
    <t>All In One Civil Engineering PE Exam Guide: Mohr's Circle</t>
  </si>
  <si>
    <t>Mohr's circle | Civil engineering | Shear stress | Normal stress | Tension | Trigonometry</t>
  </si>
  <si>
    <t>https://www.accessengineeringlibrary.com/content/video/V4160983799001</t>
  </si>
  <si>
    <t>All In One Civil Engineering PE Exam Guide: Moment Capacity of a Concrete Beam</t>
  </si>
  <si>
    <t>Civil engineering | Concrete beams | Bending moment diagrams | Reinforced concrete | Steel | Tensile stress</t>
  </si>
  <si>
    <t>https://www.accessengineeringlibrary.com/content/video/V4160983803001</t>
  </si>
  <si>
    <t>All In One Civil Engineering PE Exam Guide: Open Channel Hydraulics - Analysis of Channels with Straight Sides</t>
  </si>
  <si>
    <t>Civil engineering | Channel hydraulics | Flow rate | Roughness | Hydraulic diameter | Fluid properties</t>
  </si>
  <si>
    <t>https://www.accessengineeringlibrary.com/content/video/V4163105219001</t>
  </si>
  <si>
    <t>All In One Civil Engineering PE Exam Guide: Open Channel Hydraulics - Analysis of Circular Conduits</t>
  </si>
  <si>
    <t>Civil engineering | Channel hydraulics | Flow rate | Hydraulic diameter | Pipe flow | Flow velocity</t>
  </si>
  <si>
    <t>https://www.accessengineeringlibrary.com/content/video/V4160983788001</t>
  </si>
  <si>
    <t>All In One Civil Engineering PE Exam Guide: Phase Relationships for Soils</t>
  </si>
  <si>
    <t>Soils | Civil engineering | Phase relationships | Volume | Volume formulas | Fluid specific gravity</t>
  </si>
  <si>
    <t>https://www.accessengineeringlibrary.com/content/video/V4160983792001</t>
  </si>
  <si>
    <t>All In One Civil Engineering PE Exam Guide: Reinforced Concrete Beams - Stirrup Spacing</t>
  </si>
  <si>
    <t>Civil engineering | Reinforced concrete beams | Reinforced concrete | Shear force | Concrete | Yield strength</t>
  </si>
  <si>
    <t>https://www.accessengineeringlibrary.com/content/video/V4160983804001</t>
  </si>
  <si>
    <t>All In One Civil Engineering PE Exam Guide: Settlement Due to Primary Consolidation in Soils</t>
  </si>
  <si>
    <t>Soils | Civil engineering | Volume | Volume formulas | Fluid specific gravity | Water supply</t>
  </si>
  <si>
    <t>https://www.accessengineeringlibrary.com/content/video/V4398329025001</t>
  </si>
  <si>
    <t xml:space="preserve">All In One Civil Engineering PE Exam Guide: Slope Stability </t>
  </si>
  <si>
    <t>Civil engineering | Slope stability | Safety factors | Triangles | Circles | Soils</t>
  </si>
  <si>
    <t>https://www.accessengineeringlibrary.com/content/video/V4414255699001</t>
  </si>
  <si>
    <t>All In One Civil Engineering PE Exam Guide: Spiral Curve Geometry</t>
  </si>
  <si>
    <t>Civil engineering | Tangent | Particle scattering | Radius of curvature | Geometric properties of areas | Sine</t>
  </si>
  <si>
    <t>https://www.accessengineeringlibrary.com/content/video/V4398272104001</t>
  </si>
  <si>
    <t>All In One Civil Engineering PE Exam Guide: Stability of Cantilever Retaining Walls</t>
  </si>
  <si>
    <t>Civil engineering | Cantilevers | Retaining walls | Safety factors | Footings | Coefficient of friction</t>
  </si>
  <si>
    <t>https://www.accessengineeringlibrary.com/content/video/V4160983794001</t>
  </si>
  <si>
    <t>All In One Civil Engineering PE Exam Guide: Steel Beam Selection using Plastic Section Modulus</t>
  </si>
  <si>
    <t>Civil engineering | Steel beams | Steel | Flanges | Yield stress | Steel girders</t>
  </si>
  <si>
    <t>https://www.accessengineeringlibrary.com/content/video/V4160983800001</t>
  </si>
  <si>
    <t>All In One Civil Engineering PE Exam Guide: Stopping Sight Distance</t>
  </si>
  <si>
    <t>Civil engineering | Coefficient of friction | Automobile braking systems | Velocity gradients | Deceleration | Gravity</t>
  </si>
  <si>
    <t>https://www.accessengineeringlibrary.com/content/video/V4398329038001</t>
  </si>
  <si>
    <t>All In One Civil Engineering PE Exam Guide: Stopping Sight Distance on a Circular Curve using the Horizontal Sightline Offset</t>
  </si>
  <si>
    <t>Civil engineering | Roadways | Cosine</t>
  </si>
  <si>
    <t>https://www.accessengineeringlibrary.com/content/video/V4160983791001</t>
  </si>
  <si>
    <t>All In One Civil Engineering PE Exam Guide: USCS Soil Classification</t>
  </si>
  <si>
    <t>Soils | Civil engineering | Soil texture | Plastic deformation | Sieve analysis | Gravity</t>
  </si>
  <si>
    <t>https://www.accessengineeringlibrary.com/content/video/V4398329042001</t>
  </si>
  <si>
    <t>All In One Civil Engineering PE Exam Guide: USDA Soil Classification</t>
  </si>
  <si>
    <t>Civil engineering | Soils | Triangles | Mean</t>
  </si>
  <si>
    <t>https://www.accessengineeringlibrary.com/content/video/V4160983793001</t>
  </si>
  <si>
    <t>All In One Civil Engineering PE Exam Guide: Use of the Moody Diagram to Calculate Friction Loss in Closed Conduits</t>
  </si>
  <si>
    <t>Civil engineering | Moody diagrams | Friction loss | Pressure drop | Pipes | Roughness</t>
  </si>
  <si>
    <t>https://www.accessengineeringlibrary.com/content/video/V4414265572001</t>
  </si>
  <si>
    <t>Analog Filter and Circuit Design Handbook: Chapter 13 - Nonideal Operational Amplifiers</t>
  </si>
  <si>
    <t>Circuit design | Analog filters | Operational amplifiers | Bias current | Terminal voltage | Kirchhoff's current law</t>
  </si>
  <si>
    <t>https://www.accessengineeringlibrary.com/content/video/V3128267242001</t>
  </si>
  <si>
    <t>Analog Filter and Circuit Design Handbook: Chapter 13 - Slew-Rate Limiting on Operational Amplifiers</t>
  </si>
  <si>
    <t>Circuit design | Analog filters | Operational amplifiers | Sine | Step function | Inverting amplifiers</t>
  </si>
  <si>
    <t>https://www.accessengineeringlibrary.com/content/video/V3128349457001</t>
  </si>
  <si>
    <t>Analog Filter and Circuit Design Handbook: Chapter 14 - Converters</t>
  </si>
  <si>
    <t>Circuit design | Analog filters | Voltage conversion | Voltage output | Kirchhoff's current law | Operational amplifiers</t>
  </si>
  <si>
    <t>https://www.accessengineeringlibrary.com/content/video/V3128349458001</t>
  </si>
  <si>
    <t>Analog Filter and Circuit Design Handbook: Chapter 14 - The Instrumentation Amplifier</t>
  </si>
  <si>
    <t>Instrumentation amplifiers | Circuit design | Analog filters | Terminal voltage | Kirchhoff's current law | Voltage output</t>
  </si>
  <si>
    <t>https://www.accessengineeringlibrary.com/content/video/V3128349459001</t>
  </si>
  <si>
    <t>Analog Filter and Circuit Design Handbook: Chapter 15 - Full-Wave Precision Rectifier</t>
  </si>
  <si>
    <t>Circuit design | Analog filters | Rectifiers | Operational amplifiers | Kirchhoff's current law | Short circuits</t>
  </si>
  <si>
    <t>https://www.accessengineeringlibrary.com/content/video/V3128349460001</t>
  </si>
  <si>
    <t>Analog Filter and Circuit Design Handbook: Chapter 15 - Half-Wave Precision Rectifier</t>
  </si>
  <si>
    <t>Circuit design | Analog filters | Rectifiers | Diodes | Circuit analysis | Sine</t>
  </si>
  <si>
    <t>https://www.accessengineeringlibrary.com/content/video/V3128349461001</t>
  </si>
  <si>
    <t>Analog Filter and Circuit Design Handbook: Chapter 16 - Basic Comparator and Window Comparator</t>
  </si>
  <si>
    <t>Comparators | Circuit design | Analog filters | Operational amplifiers | Sine | Voltage output</t>
  </si>
  <si>
    <t>https://www.accessengineeringlibrary.com/content/video/V3128349462001</t>
  </si>
  <si>
    <t>Analog Filter and Circuit Design Handbook: Chapter 16 - The Differentiator</t>
  </si>
  <si>
    <t>Circuit design | Analog filters | Resistors | Operational amplifiers | Feedback resistors | Derivatives</t>
  </si>
  <si>
    <t>https://www.accessengineeringlibrary.com/content/video/V3128349463001</t>
  </si>
  <si>
    <t>Analog Filter and Circuit Design Handbook: Chapter 16 - The Integrator</t>
  </si>
  <si>
    <t>Circuit design | Analog filters | Analog integrator | Integrated circuits | Feedback resistors | Capacitors</t>
  </si>
  <si>
    <t>https://www.accessengineeringlibrary.com/content/video/V3128349464001</t>
  </si>
  <si>
    <t>Analog Filter and Circuit Design Handbook: Chapter 17 - Phase Shift Oscillators</t>
  </si>
  <si>
    <t>Circuit design | Analog filters | Sine | Feedback resistors | Resistor networks | Closed loop transfer function</t>
  </si>
  <si>
    <t>https://www.accessengineeringlibrary.com/content/video/V3128349465001</t>
  </si>
  <si>
    <t>Analog Filter and Circuit Design Handbook: Chapter 17 - Square Wave Relaxation Oscillator</t>
  </si>
  <si>
    <t>Circuit design | Analog filters | Relaxation oscillators | Capacitors | Terminal voltage | Resistors</t>
  </si>
  <si>
    <t>https://www.accessengineeringlibrary.com/content/video/V3128349466001</t>
  </si>
  <si>
    <t>Analog Filter and Circuit Design Handbook: Chapter 17 - The Wien Bridge Oscillator</t>
  </si>
  <si>
    <t>Circuit design | Analog filters | Bridge design | Sine | Signal attenuation | Resistors</t>
  </si>
  <si>
    <t>https://www.accessengineeringlibrary.com/content/video/V3128349468001</t>
  </si>
  <si>
    <t>Analog Filter and Circuit Design Handbook: Chapter 17 - Triangular Wave Relaxation Oscillator</t>
  </si>
  <si>
    <t>Circuit design | Analog filters | Relaxation oscillators | Voltage | Capacitors | Triangles</t>
  </si>
  <si>
    <t>https://www.accessengineeringlibrary.com/content/video/V3128349467001</t>
  </si>
  <si>
    <t>Analysis of a Beam Under Transverse and Axial Compressive Loading</t>
  </si>
  <si>
    <t>Roark's Formulas for Stress and Strain, Eighth Edition|Roark's Formulas for Stress and Strain, Ninth Edition</t>
  </si>
  <si>
    <t>James Pitarresi, Department Chair, Mechanical Engineering, Binghamton University, State University of New York</t>
  </si>
  <si>
    <t>Axial load | Axial members | Deflection | Compressive stress | Axial stress | Bending stress</t>
  </si>
  <si>
    <t>https://www.accessengineeringlibrary.com/content/video/V1836413539001</t>
  </si>
  <si>
    <t>Analysis of a Concentric Curved Beam</t>
  </si>
  <si>
    <t>Curved beams | Mechanical engineering | Normal stress | Bending stress | Radius of curvature | Bending moment</t>
  </si>
  <si>
    <t>https://www.accessengineeringlibrary.com/content/video/V1402381061001</t>
  </si>
  <si>
    <t>Analysis of a Curved Beam using Table 9.3</t>
  </si>
  <si>
    <t>Curved beams | Arches | Deflection | Sine | Geometric equations | Deformation</t>
  </si>
  <si>
    <t>https://www.accessengineeringlibrary.com/content/video/V1836246974001</t>
  </si>
  <si>
    <t>Analysis of a Rigid Frame</t>
  </si>
  <si>
    <t>Material properties | Geometric properties of areas | Thermal expansion coefficient | Thermal expansion | Geometric equations | Superposition</t>
  </si>
  <si>
    <t>https://www.accessengineeringlibrary.com/content/video/V1836229563001</t>
  </si>
  <si>
    <t>Analysis of a Rigid Frame: Modified Corner Stiffness</t>
  </si>
  <si>
    <t>Deformation | Deformable bodies | Geometric properties of areas | Superposition | Shear modulus | Material properties</t>
  </si>
  <si>
    <t>https://www.accessengineeringlibrary.com/content/video/V1836246987001</t>
  </si>
  <si>
    <t>Analysis of a Thick Curved Beam Using Energy Methods</t>
  </si>
  <si>
    <t>Curved beams | Energy methods | Deformation | Deflection | Arches | Beam theory</t>
  </si>
  <si>
    <t>https://www.accessengineeringlibrary.com/content/video/V1836413537001</t>
  </si>
  <si>
    <t>Analysis of an Indeterminate Truss</t>
  </si>
  <si>
    <t>Statically indeterminate structures | Trusses | Energy methods | Loaded members | Tension | Steel</t>
  </si>
  <si>
    <t>https://www.accessengineeringlibrary.com/content/video/V1836403149001</t>
  </si>
  <si>
    <t>Analyze 3D-Printing Suitability in Meshmixer</t>
  </si>
  <si>
    <t>https://www.accessengineeringlibrary.com/content/video/V4768153294001</t>
  </si>
  <si>
    <t>Analyzing a Designed Experiment in MS Excel-Part 1</t>
  </si>
  <si>
    <t>Six Sigma Handbook, Fifth Edition|Six Sigma Handbook, Fourth Edition</t>
  </si>
  <si>
    <t>Paul Keller, President and Senior Consultant, Quality America and Author, Six Sigma Handbook</t>
  </si>
  <si>
    <t>Six Sigma | Six Sigma leadership | Lean Six Sigma | Belts | Data analysis | Regression analysis</t>
  </si>
  <si>
    <t>https://www.accessengineeringlibrary.com/content/video/V3667696172001</t>
  </si>
  <si>
    <t>Analyzing a Designed Experiment in MS Excel-Part 2</t>
  </si>
  <si>
    <t>Six Sigma | Six Sigma leadership | Lean Six Sigma | Belts | Correlation | Data mining</t>
  </si>
  <si>
    <t>https://www.accessengineeringlibrary.com/content/video/V3667696171001</t>
  </si>
  <si>
    <t>Analyzing Individuals Data on Process Control Charts</t>
  </si>
  <si>
    <t>Process control | Six Sigma | Moving average charts | Control charts | Stability analysis | Process time</t>
  </si>
  <si>
    <t>https://www.accessengineeringlibrary.com/content/video/V3615833513001</t>
  </si>
  <si>
    <t>Apply Images to the Model</t>
  </si>
  <si>
    <t>https://www.accessengineeringlibrary.com/content/video/V4768134735001</t>
  </si>
  <si>
    <t>Asphalt Paving</t>
  </si>
  <si>
    <t>Robert L. Schmitt, P.E., Ph.D., Department of Civil Engineering, University of Wisconsinâ€“Platteville</t>
  </si>
  <si>
    <t>Asphalt | Pavers | Construction equipment | Pavement | Soil properties</t>
  </si>
  <si>
    <t>https://www.accessengineeringlibrary.com/content/video/V5759220632001</t>
  </si>
  <si>
    <t>Asphalt Plant</t>
  </si>
  <si>
    <t>Asphalt | Construction equipment | Cement | Asphalt concrete | Fluid flow control | Conveyor belts</t>
  </si>
  <si>
    <t>https://www.accessengineeringlibrary.com/content/video/V5762520689001</t>
  </si>
  <si>
    <t>Attenuator Bridged-T Network Design</t>
  </si>
  <si>
    <t>Attenuators | Bridge design | Electronics engineering | Impedance | Load loss | Voltage sources</t>
  </si>
  <si>
    <t>https://www.accessengineeringlibrary.com/content/video/V1873326714001</t>
  </si>
  <si>
    <t>Attenuator PI Network Design</t>
  </si>
  <si>
    <t>Attenuators | Electronics engineering | Impedance | Load loss | Voltage sources | Process design</t>
  </si>
  <si>
    <t>https://www.accessengineeringlibrary.com/content/video/V1873289111001</t>
  </si>
  <si>
    <t>AutoCAD Floor Plan</t>
  </si>
  <si>
    <t>https://www.accessengineeringlibrary.com/content/video/V4768134736001</t>
  </si>
  <si>
    <t>Autodesk 123D: Make Construction Drawings from a 123D Model</t>
  </si>
  <si>
    <t>https://www.accessengineeringlibrary.com/content/video/V4005352524001</t>
  </si>
  <si>
    <t>Automatic Control Systems Problem 10-37: Phase and Gain Margin</t>
  </si>
  <si>
    <t>Gain margin | Phase margin | Control systems | Phase crossover | Gain crossover | Bode plots</t>
  </si>
  <si>
    <t>https://www.accessengineeringlibrary.com/content/video/V5654128634001</t>
  </si>
  <si>
    <t>Automatic Control Systems Problem 10-5: Bandwidth, Resonant Frequency and Resonance Peak</t>
  </si>
  <si>
    <t>Bandwidth | Control systems | Resonant frequency | Resonance | Resonant peak | Transfer functions</t>
  </si>
  <si>
    <t>https://www.accessengineeringlibrary.com/content/video/V5654122193001</t>
  </si>
  <si>
    <t>Automatic Control Systems Problem 11-34: PID controller Design</t>
  </si>
  <si>
    <t>Control systems | PID controllers | Control system design | Steady state error | Maximum overshoot | PD controllers</t>
  </si>
  <si>
    <t>https://www.accessengineeringlibrary.com/content/video/V5654128635001</t>
  </si>
  <si>
    <t>Automatic Control Systems Problem 11-50: Lead Controller Design</t>
  </si>
  <si>
    <t>Control systems | Control system design | Steady state error | Phase margin | Settling time | Rise time</t>
  </si>
  <si>
    <t>https://www.accessengineeringlibrary.com/content/video/V5654139508001</t>
  </si>
  <si>
    <t>Automatic Control Systems Problem 2-25: Modeling of a Mechanical System</t>
  </si>
  <si>
    <t>Control systems | Equations of motion | Mass | Voltage | Voltage measurement | Dampers</t>
  </si>
  <si>
    <t>https://www.accessengineeringlibrary.com/content/video/V5660240583001</t>
  </si>
  <si>
    <t>Automatic Control Systems Problem 2-29: Modeling of an Electrical System</t>
  </si>
  <si>
    <t>Control systems | Electric power systems | RLC circuits | Voltage measurement | Kirchhoff's current law | Voltage sources</t>
  </si>
  <si>
    <t>https://www.accessengineeringlibrary.com/content/video/V5654130217001</t>
  </si>
  <si>
    <t>Automatic Control Systems Problem 3-34: State Space of a Mechanical System</t>
  </si>
  <si>
    <t>Control systems | Mass | Harmonic vibration | Molar mass | Harmonics | Acceleration</t>
  </si>
  <si>
    <t>https://www.accessengineeringlibrary.com/content/video/V5654141310001</t>
  </si>
  <si>
    <t>Automatic Control Systems Problem 3-36: State Space of an Electrical System</t>
  </si>
  <si>
    <t>Control systems | Electric power systems | Electricity | Capacitors | Kirchhoff's current law | Resistors</t>
  </si>
  <si>
    <t>https://www.accessengineeringlibrary.com/content/video/V5654139509001</t>
  </si>
  <si>
    <t>Automatic Control Systems Problem 4-12: Block Diagrams and Transfer Functions</t>
  </si>
  <si>
    <t>Control systems | Transfer functions | Block diagrams | Step function | Laplace transform | Feedback control systems</t>
  </si>
  <si>
    <t>https://www.accessengineeringlibrary.com/content/video/V5654136873001</t>
  </si>
  <si>
    <t>Automatic Control Systems Problem 4-27: Signal Flow Graphs and Transfer Functions</t>
  </si>
  <si>
    <t>Control systems | Transfer functions | Signal flow graphs | Signal flow | Closed loop transfer function</t>
  </si>
  <si>
    <t>https://www.accessengineeringlibrary.com/content/video/V5654136874001</t>
  </si>
  <si>
    <t>Automatic Control Systems Problem 5-11: Stability of a Control System</t>
  </si>
  <si>
    <t>Control systems | System stability | Characteristic equation | Stable system | Routh criterion | State feedback</t>
  </si>
  <si>
    <t>https://www.accessengineeringlibrary.com/content/video/V5654136409001</t>
  </si>
  <si>
    <t>Automatic Control Systems Problem 5-14: Routh-Hurwitz Criterion</t>
  </si>
  <si>
    <t>Control systems | Routh criterion | Feedback control systems | Characteristic equation | Closed loop transfer function | Tachometers</t>
  </si>
  <si>
    <t>https://www.accessengineeringlibrary.com/content/video/V5660256145001</t>
  </si>
  <si>
    <t>Automatic Control Systems Problem 6-19: Transfer Functions and Block Diagrams</t>
  </si>
  <si>
    <t>Control systems | Transfer functions | Block diagrams | Motor speed control | Operational amplifiers | Electronic filters</t>
  </si>
  <si>
    <t>https://www.accessengineeringlibrary.com/content/video/V5654130218001</t>
  </si>
  <si>
    <t>Automatic Control Systems Problem 6-6: State equations for a Linear Translational System</t>
  </si>
  <si>
    <t>Linear equations | Control systems | Linear systems | Derivatives | Differential equations | Mass</t>
  </si>
  <si>
    <t>https://www.accessengineeringlibrary.com/content/video/V5654114801001</t>
  </si>
  <si>
    <t>Automatic Control Systems Problem 7-16: Steady-state Error</t>
  </si>
  <si>
    <t>Control systems | Steady state error | Parabolas | Algebra | Step function | Routh criterion</t>
  </si>
  <si>
    <t>https://www.accessengineeringlibrary.com/content/video/V5654131891001</t>
  </si>
  <si>
    <t>Automatic Control Systems Problem 7-34: Rise Time and Settling Time</t>
  </si>
  <si>
    <t>Control systems | Settling time | Rise time | Velocity | Natural frequency | Damping ratio</t>
  </si>
  <si>
    <t>https://www.accessengineeringlibrary.com/content/video/V5660256143001</t>
  </si>
  <si>
    <t>Automatic Control Systems Problem 7-56: PD Controller Design</t>
  </si>
  <si>
    <t>Control systems | PD controllers | Control system design | Steady state error | Settling time | Oscillation</t>
  </si>
  <si>
    <t>https://www.accessengineeringlibrary.com/content/video/V5660252750001</t>
  </si>
  <si>
    <t>Automatic Control Systems Problem 8-63: State-variable Feedback Controller Design</t>
  </si>
  <si>
    <t>Control systems | Nichols charts | Control system design | Poles of a transfer function | Characteristic equation | Gain control</t>
  </si>
  <si>
    <t>https://www.accessengineeringlibrary.com/content/video/V5654131890001</t>
  </si>
  <si>
    <t>Automatic Control Systems Problem 8-67: State Equations, Controllability and Observability</t>
  </si>
  <si>
    <t>Control systems | Automatic control | Voltage | Capacitors | Inductors | Voltage output</t>
  </si>
  <si>
    <t>https://www.accessengineeringlibrary.com/content/video/V5654137501001</t>
  </si>
  <si>
    <t>Automatic Control Systems Problem 9-20: Root-Locus Analysis</t>
  </si>
  <si>
    <t>Control systems | Systems analysis | Root locus method | Matlab | Zeros of a transfer function | Routh criterion</t>
  </si>
  <si>
    <t>https://www.accessengineeringlibrary.com/content/video/V5654128637001</t>
  </si>
  <si>
    <t>Automatic Control Systems Problem 9-28: Root-Locus Analysis</t>
  </si>
  <si>
    <t>Control systems | Systems analysis | Root locus method | Routh criterion | Zeros of a transfer function | Polynomials</t>
  </si>
  <si>
    <t>https://www.accessengineeringlibrary.com/content/video/V5654136875001</t>
  </si>
  <si>
    <t>Available Solar Irradiation</t>
  </si>
  <si>
    <t>Joseph G. DeAngelo, Assistant Professor,  Department of Engineering Technologies, Broome Community College</t>
  </si>
  <si>
    <t>Mechanical engineering | Solar energy | Statistical values | Solar panels | Radiation | Polynomials</t>
  </si>
  <si>
    <t>https://www.accessengineeringlibrary.com/content/video/V1402374734001</t>
  </si>
  <si>
    <t>Balanced AC System with Delta-Connected Load</t>
  </si>
  <si>
    <t>Standard Handbook for Electrical Engineers, Seventeenth Edition|Standard Handbook for Electrical Engineers, Sixteenth Edition</t>
  </si>
  <si>
    <t>Electricity | Electrical engineering | Voltage drop | Voltage regulation | Load regulation | Alternating current</t>
  </si>
  <si>
    <t>https://www.accessengineeringlibrary.com/content/video/V1931831096001</t>
  </si>
  <si>
    <t>Balanced AC System with Y-Connected Load</t>
  </si>
  <si>
    <t>https://www.accessengineeringlibrary.com/content/video/V1948943120001</t>
  </si>
  <si>
    <t>Band-Elimination Butterworth Filter</t>
  </si>
  <si>
    <t>Butterworth filters | Electronics engineering | Capacitors | Inductors | Prototyping | Series inductors</t>
  </si>
  <si>
    <t>https://www.accessengineeringlibrary.com/content/video/V1873313008001</t>
  </si>
  <si>
    <t>Band-Elimination Chebyshev Filter</t>
  </si>
  <si>
    <t>Chebyshev filters | Electronics engineering | Capacitors | Inductors | Prototyping | Polynomials</t>
  </si>
  <si>
    <t>https://www.accessengineeringlibrary.com/content/video/V1873289109001</t>
  </si>
  <si>
    <t>Bandgap Voltage Reference</t>
  </si>
  <si>
    <t>Voltage | Supply voltage | Resistors | Voltage regulation | Voltage output | Temperature coefficients</t>
  </si>
  <si>
    <t>https://www.accessengineeringlibrary.com/content/video/V3705246408001</t>
  </si>
  <si>
    <t>Bandpass Butterworth Filter</t>
  </si>
  <si>
    <t>Butterworth filters | Electronics engineering | Capacitors | Inductors | Prototyping | Parallel inductors</t>
  </si>
  <si>
    <t>https://www.accessengineeringlibrary.com/content/video/V1873326711001</t>
  </si>
  <si>
    <t>Bandpass Chebyshev Filter</t>
  </si>
  <si>
    <t>Chebyshev filters | Electronics engineering | Capacitors | Inductors | Band pass filters | Prototyping</t>
  </si>
  <si>
    <t>https://www.accessengineeringlibrary.com/content/video/V1873289106001</t>
  </si>
  <si>
    <t>Beam on an Elastic Foundation</t>
  </si>
  <si>
    <t>Structural beams | Foundation supports | Bending stress | Stress | Steel | Sine</t>
  </si>
  <si>
    <t>https://www.accessengineeringlibrary.com/content/video/V1836246988001</t>
  </si>
  <si>
    <t>Bearing Video 1: Bearing Types</t>
  </si>
  <si>
    <t>Christopher Tomasi, Associate Professor, Mechanical Engineering Technology, Alfred State, SUNY College of Technology</t>
  </si>
  <si>
    <t>Bearings | Mechanical engineering | Rolling contact bearings | Fluid film bearings | Journal bearings | Shafts</t>
  </si>
  <si>
    <t>https://www.accessengineeringlibrary.com/content/video/V1402374741001</t>
  </si>
  <si>
    <t>Bearing Video 2: Loading</t>
  </si>
  <si>
    <t>Bearings | Thrust | Mechanical engineering | Shafts | Axial load | Exterior columns</t>
  </si>
  <si>
    <t>https://www.accessengineeringlibrary.com/content/video/V1402381082001</t>
  </si>
  <si>
    <t>Bearing Video 3: Mounting</t>
  </si>
  <si>
    <t>Bearings | Mechanical engineering | Shafts | Screws | Bearing lubrication</t>
  </si>
  <si>
    <t>https://www.accessengineeringlibrary.com/content/video/V1402374748001</t>
  </si>
  <si>
    <t>Bearing Video 4: Bearing Selection</t>
  </si>
  <si>
    <t>Bearings | Dynamic load | Design load | Torque | Mechanical engineering | Shafts</t>
  </si>
  <si>
    <t>https://www.accessengineeringlibrary.com/content/video/V1402374740001</t>
  </si>
  <si>
    <t>Belt Drive Video 1: Selection Parameters</t>
  </si>
  <si>
    <t>Belts | Mechanical engineering | V belts | Spur gears | Flat belts | Torque</t>
  </si>
  <si>
    <t>https://www.accessengineeringlibrary.com/content/video/V1402382278001</t>
  </si>
  <si>
    <t>Belt Drive Video 2: Belt Drive Geometry</t>
  </si>
  <si>
    <t>Belts | Mechanical engineering | Tension | Screws | Machining | K value</t>
  </si>
  <si>
    <t>https://www.accessengineeringlibrary.com/content/video/V1402374743001</t>
  </si>
  <si>
    <t>Belt Drive Video 3: Design Example Part I</t>
  </si>
  <si>
    <t>Belts | Horsepower | Mechanical engineering | Tension | Motors | Shafts</t>
  </si>
  <si>
    <t>https://www.accessengineeringlibrary.com/content/video/V1402349043001</t>
  </si>
  <si>
    <t>Belt Drive Video 4: Design Example Part II</t>
  </si>
  <si>
    <t>Belts | Mechanical engineering | Round belts | Motors | V belts | Operating efficiency</t>
  </si>
  <si>
    <t>https://www.accessengineeringlibrary.com/content/video/V1402349042001</t>
  </si>
  <si>
    <t>Bending Stress in a Beam Not Loaded in a Plane of Symmetry</t>
  </si>
  <si>
    <t>Bending stress | Torsion | Torque | Tension | Superposition | Stress</t>
  </si>
  <si>
    <t>https://www.accessengineeringlibrary.com/content/video/V1836243656001</t>
  </si>
  <si>
    <t>Bending Stress in a Beam of Variable Depth</t>
  </si>
  <si>
    <t>Bending stress | Bending moment diagrams | Structural beams | Static equilibrium | Moment of inertia | Flexure</t>
  </si>
  <si>
    <t>https://www.accessengineeringlibrary.com/content/video/V1836243651001</t>
  </si>
  <si>
    <t>Bipolar-Junction Transistors</t>
  </si>
  <si>
    <t>Transistors | Direct current | Alternating current | Resistors | Voltage | Integrated circuits</t>
  </si>
  <si>
    <t>https://www.accessengineeringlibrary.com/content/video/V3705246409001</t>
  </si>
  <si>
    <t>Bolted Tailing Lug Calculations</t>
  </si>
  <si>
    <t>Tailings | Fasteners | Bolted steel connections | Bolts | Shear load | Centers of mass</t>
  </si>
  <si>
    <t>https://www.accessengineeringlibrary.com/content/video/V1836246978001</t>
  </si>
  <si>
    <t>Calculating Heat Transfer through a Wall Section</t>
  </si>
  <si>
    <t>Jason Gilbert, Adjunct Professor, Mechanical Engineering, Binghamton University, State University of New York</t>
  </si>
  <si>
    <t>Heat transfer | Wall sections | Mechanical engineering | Walls | Brick masonry | Heat transfer coefficients</t>
  </si>
  <si>
    <t>https://www.accessengineeringlibrary.com/content/video/V1402374723001</t>
  </si>
  <si>
    <t>Calculation of Available Wind Energy</t>
  </si>
  <si>
    <t>Wind energy | Wind turbines | Mechanical engineering | Watts | Rotors | Air density</t>
  </si>
  <si>
    <t>https://www.accessengineeringlibrary.com/content/video/V1402381063001</t>
  </si>
  <si>
    <t>Centrifugal Pump: Typical Characteristic Curves at Constant Speed</t>
  </si>
  <si>
    <t>Centrifugal pumps | Mechanical engineering | Volume measurement | Pumps | Horsepower | Flow rate measurement</t>
  </si>
  <si>
    <t>https://www.accessengineeringlibrary.com/content/video/V1402349035001</t>
  </si>
  <si>
    <t>Chain Drive Video 1: Roller Chain and Sprocket Selection Parameters</t>
  </si>
  <si>
    <t>Chain drives | Mechanical engineering | Tension | Fatigue | Conveyors | Mechanical components</t>
  </si>
  <si>
    <t>https://www.accessengineeringlibrary.com/content/video/V1402349041001</t>
  </si>
  <si>
    <t>Chain Drive Video 2: Roller Chain Lubrication Options</t>
  </si>
  <si>
    <t>Chain drives | Mechanical engineering | Lubricating systems | Lubrication | Viscosity | Hydrocarbon reservoirs</t>
  </si>
  <si>
    <t>https://www.accessengineeringlibrary.com/content/video/V1402374736001</t>
  </si>
  <si>
    <t>Chain Drive Video 3: Roller Chain Design Example Part I</t>
  </si>
  <si>
    <t>Chain drives | Horsepower | Mechanical engineering | Hammer mills | Diesel engines | Stress</t>
  </si>
  <si>
    <t>https://www.accessengineeringlibrary.com/content/video/V1402349039001</t>
  </si>
  <si>
    <t>Chain Drive Video 4: Roller Chain Design Example Part II</t>
  </si>
  <si>
    <t>Chain drives | Mechanical engineering | K value | Motors | Stress | Shafts</t>
  </si>
  <si>
    <t>https://www.accessengineeringlibrary.com/content/video/V1402349037001</t>
  </si>
  <si>
    <t>Circle and Rotate</t>
  </si>
  <si>
    <t>https://www.accessengineeringlibrary.com/content/video/V4768153295001</t>
  </si>
  <si>
    <t>CNC Cutting out Letters</t>
  </si>
  <si>
    <t>https://www.accessengineeringlibrary.com/content/video/V4768153296001</t>
  </si>
  <si>
    <t>Coaxiality</t>
  </si>
  <si>
    <t>Machine design | Geometric dimensioning and tolerancing | Datum features | Zone control | Material surfaces | Control system error</t>
  </si>
  <si>
    <t>https://www.accessengineeringlibrary.com/content/video/V2433899704001</t>
  </si>
  <si>
    <t>Color the Model</t>
  </si>
  <si>
    <t>https://www.accessengineeringlibrary.com/content/video/V4768134737001</t>
  </si>
  <si>
    <t>Combined Stress</t>
  </si>
  <si>
    <t>Combined stress | Tensile stress | Shear stress | Pipes | Maximum shear stress | Strain energy</t>
  </si>
  <si>
    <t>https://www.accessengineeringlibrary.com/content/video/V1836229560001</t>
  </si>
  <si>
    <t>Common-Emitter Amplifier</t>
  </si>
  <si>
    <t>Amplifiers | Output resistance | Resistors | Voltage | Circuits | Capacitors</t>
  </si>
  <si>
    <t>https://www.accessengineeringlibrary.com/content/video/V3705246412001</t>
  </si>
  <si>
    <t>Common-Emitter Amplifier with Degenerating Resistor</t>
  </si>
  <si>
    <t>Resistors | Amplifiers | Feedback resistors | Feedback amplifiers | Voltage | Circuits</t>
  </si>
  <si>
    <t>https://www.accessengineeringlibrary.com/content/video/V3705146113001</t>
  </si>
  <si>
    <t>Component Window in Double-Face Wall</t>
  </si>
  <si>
    <t>https://www.accessengineeringlibrary.com/content/video/V4768289487001</t>
  </si>
  <si>
    <t>Composite Beams and Bimetallic Strips</t>
  </si>
  <si>
    <t>Composite beams | Thermal stresses | Thermal strain | Geometric properties of areas | Geometric equations | Thermal expansion coefficient</t>
  </si>
  <si>
    <t>https://www.accessengineeringlibrary.com/content/video/V1836243658001</t>
  </si>
  <si>
    <t>Compression Spring Design</t>
  </si>
  <si>
    <t>Mechanical springs | Spring design | Mechanical engineering | Static load | Torsion | Deflection</t>
  </si>
  <si>
    <t>https://www.accessengineeringlibrary.com/content/video/V1402345905001</t>
  </si>
  <si>
    <t>Computing the Bending Stress in a Composite Beam</t>
  </si>
  <si>
    <t>Composite beams | Bending stress | Stress | Steel | Centers of mass | Brass</t>
  </si>
  <si>
    <t>https://www.accessengineeringlibrary.com/content/video/V1836229557001</t>
  </si>
  <si>
    <t>Computing the Deflection in a Truss</t>
  </si>
  <si>
    <t>Trusses | Truss deflection | Energy methods | Loaded members | Tension | Steel</t>
  </si>
  <si>
    <t>https://www.accessengineeringlibrary.com/content/video/V1836395699001</t>
  </si>
  <si>
    <t>Computing the Maximum Deflection and Stress in an Indeterminate Beam</t>
  </si>
  <si>
    <t>Deflection | Thermal stresses | Thermal strain | Mechanical load | Elastic modulus | Thermal expansion coefficient</t>
  </si>
  <si>
    <t>https://www.accessengineeringlibrary.com/content/video/V1836413540001</t>
  </si>
  <si>
    <t>Concrete Paver</t>
  </si>
  <si>
    <t>Concrete | Pavers | Pavement | Construction equipment | Vibration | Surface hardening</t>
  </si>
  <si>
    <t>https://www.accessengineeringlibrary.com/content/video/V5762523116001</t>
  </si>
  <si>
    <t>Concrete Pumper Truck</t>
  </si>
  <si>
    <t>Concrete pumper | Concrete | Construction equipment | Pump operation | Pumps | Pipes</t>
  </si>
  <si>
    <t>https://www.accessengineeringlibrary.com/content/video/V5762521992001</t>
  </si>
  <si>
    <t>Condensing Heater</t>
  </si>
  <si>
    <t>Mechanical engineering | Water cycle | Shell and tube heat exchangers | Pipe flow | Storm sewer inlets</t>
  </si>
  <si>
    <t>https://www.accessengineeringlibrary.com/content/video/V1402382273001</t>
  </si>
  <si>
    <t>Conductor Size</t>
  </si>
  <si>
    <t>Electric conductors | Electricity | Voltage drop | Allowable load | Branch circuits | Watts</t>
  </si>
  <si>
    <t>https://www.accessengineeringlibrary.com/content/video/V3422515619001</t>
  </si>
  <si>
    <t>Conductor Size for a DC System</t>
  </si>
  <si>
    <t>Electric conductors | Electricity | Electrical engineering | Voltage drop | Direct current | Electric power systems</t>
  </si>
  <si>
    <t>https://www.accessengineeringlibrary.com/content/video/V1931838141001</t>
  </si>
  <si>
    <t>Constructing XBar Control Chart in Minitab</t>
  </si>
  <si>
    <t>Control charts | Six Sigma | X bar control charts | Standard deviation | Sigma charts | Range charts</t>
  </si>
  <si>
    <t>https://www.accessengineeringlibrary.com/content/video/V3615833512001</t>
  </si>
  <si>
    <t>Control Chart Interpretation: Autocorrelation</t>
  </si>
  <si>
    <t>Control charts | Six Sigma | X bar control charts | Mean | Range charts | Process time</t>
  </si>
  <si>
    <t>https://www.accessengineeringlibrary.com/content/video/V3615833510001</t>
  </si>
  <si>
    <t>Control Chart Interpretation: Data Resolution</t>
  </si>
  <si>
    <t>Control charts | Six Sigma | X bar control charts | Range charts | Diameter measurement | Standard deviation</t>
  </si>
  <si>
    <t>https://www.accessengineeringlibrary.com/content/video/V3615833511001</t>
  </si>
  <si>
    <t>Control Chart Interpretation: Historical Data</t>
  </si>
  <si>
    <t>Control charts | Six Sigma | X bar control charts | Run tests | Process time | Range charts</t>
  </si>
  <si>
    <t>https://www.accessengineeringlibrary.com/content/video/V3615833508001</t>
  </si>
  <si>
    <t>Control Chart Interpretation: Multiple Stream Processes</t>
  </si>
  <si>
    <t>Process control | Six Sigma | Run tests | Mean | X bar control charts | Control charts</t>
  </si>
  <si>
    <t>https://www.accessengineeringlibrary.com/content/video/V3615833509001</t>
  </si>
  <si>
    <t>Controller Sensitivity</t>
  </si>
  <si>
    <t>Electronics engineering | Sensors | Low pass filters | Bandwidth | First order systems | Electronic filters</t>
  </si>
  <si>
    <t>https://www.accessengineeringlibrary.com/content/video/V1873313012001</t>
  </si>
  <si>
    <t>Cooling Tower</t>
  </si>
  <si>
    <t>Cooling towers | Water cycle | Mechanical engineering | Liquid cooling | Cooling fans | Wet bulb temperature</t>
  </si>
  <si>
    <t>https://www.accessengineeringlibrary.com/content/video/V1402349031001</t>
  </si>
  <si>
    <t>Coplanarity</t>
  </si>
  <si>
    <t>Machine design | Geometric dimensioning and tolerancing | Zone control | Datum features | Surface profiles | Surface features</t>
  </si>
  <si>
    <t>https://www.accessengineeringlibrary.com/content/video/V2433899707001</t>
  </si>
  <si>
    <t>Crawler Crane</t>
  </si>
  <si>
    <t>Cranes | Construction equipment | Hoists</t>
  </si>
  <si>
    <t>https://www.accessengineeringlibrary.com/content/video/V5762508271001</t>
  </si>
  <si>
    <t>Current Mirror</t>
  </si>
  <si>
    <t>Current mirrors | Current sources | Voltage | Resistors | Logarithms | Algebra</t>
  </si>
  <si>
    <t>https://www.accessengineeringlibrary.com/content/video/V3705246410001</t>
  </si>
  <si>
    <t>Customer Focus Using Kano</t>
  </si>
  <si>
    <t>Six Sigma | Innovation | Customer requirements | Process design | Sales | Leadership</t>
  </si>
  <si>
    <t>https://www.accessengineeringlibrary.com/content/video/V3615833521001</t>
  </si>
  <si>
    <t>Datum Feature Symbol</t>
  </si>
  <si>
    <t>Datum features | Geometric dimensioning and tolerancing | Machine design | Equilateral triangles | Datums</t>
  </si>
  <si>
    <t>https://www.accessengineeringlibrary.com/content/video/V2433975071001</t>
  </si>
  <si>
    <t>Datums</t>
  </si>
  <si>
    <t>Datums | Machine design | Geometric dimensioning and tolerancing | Datum features | Datum reference frames | Surface flatness</t>
  </si>
  <si>
    <t>https://www.accessengineeringlibrary.com/content/video/V2433899705001</t>
  </si>
  <si>
    <t>Deflection of Curved Beams: Castigliano's Second Theorem</t>
  </si>
  <si>
    <t>Deflection | Castigliano's second theorem | Curved beams | Arches | Thrust | Sine</t>
  </si>
  <si>
    <t>https://www.accessengineeringlibrary.com/content/video/V1836246973001</t>
  </si>
  <si>
    <t>Design of a Steel Beam</t>
  </si>
  <si>
    <t>Steel beams | Mechanical engineering | Stress | Geometric equations | Deflection | Allowable load</t>
  </si>
  <si>
    <t>https://www.accessengineeringlibrary.com/content/video/V1402374724001</t>
  </si>
  <si>
    <t xml:space="preserve">Design of Experiments in Minitab: Generating the Design </t>
  </si>
  <si>
    <t>Design of experiments | Six Sigma | Mathematical optimization | Six Sigma leadership | Lean Six Sigma | Belts</t>
  </si>
  <si>
    <t>https://www.accessengineeringlibrary.com/content/video/V3615833518001</t>
  </si>
  <si>
    <t>Design of Experiments: Analysis of Data within Minitab</t>
  </si>
  <si>
    <t>Design of experiments | Data analysis | Six Sigma | Lean Six Sigma | Six Sigma leadership | Belts</t>
  </si>
  <si>
    <t>https://www.accessengineeringlibrary.com/content/video/V3615833519001</t>
  </si>
  <si>
    <t>Determination of U Value Resulting from Adding Insulation to a Wall Section</t>
  </si>
  <si>
    <t>Wall sections | Mechanical engineering | Lathes | Brick | Heat transfer coefficients</t>
  </si>
  <si>
    <t>https://www.accessengineeringlibrary.com/content/video/V1402382276001</t>
  </si>
  <si>
    <t>Direct Bearing and Shear Stress</t>
  </si>
  <si>
    <t>Bearings | Shear stress | Compressive stress | Elastic modulus | Deformation | Ellipses</t>
  </si>
  <si>
    <t>https://www.accessengineeringlibrary.com/content/video/V1836243649001</t>
  </si>
  <si>
    <t>Direct Conversion of Solar Radiation to Electricity</t>
  </si>
  <si>
    <t>Electricity | Radiation | Direct energy conversion | Mechanical engineering | Photovoltaics | Roofing</t>
  </si>
  <si>
    <t>https://www.accessengineeringlibrary.com/content/video/V1402349032001</t>
  </si>
  <si>
    <t>Distributed Load on a Steel Disc</t>
  </si>
  <si>
    <t>Steel | Bending stress | Plate deflection | Deflection | Poisson ratio | Elastic modulus</t>
  </si>
  <si>
    <t>https://www.accessengineeringlibrary.com/content/video/V1836246976001</t>
  </si>
  <si>
    <t>Drilling &amp;  Blasting</t>
  </si>
  <si>
    <t>Drilling and blasting | Construction equipment | Mining engineering | Earth excavation | Rocks | Explosives</t>
  </si>
  <si>
    <t>https://www.accessengineeringlibrary.com/content/video/V5762522020001</t>
  </si>
  <si>
    <t>Dynamic Components</t>
  </si>
  <si>
    <t>https://www.accessengineeringlibrary.com/content/video/V4768289489001</t>
  </si>
  <si>
    <t>Effect of Multi-stream Processes on Attribute Control Charts</t>
  </si>
  <si>
    <t>Attribute control charts | Six Sigma | Control charts | P charts | Automobiles | Statistics</t>
  </si>
  <si>
    <t>https://www.accessengineeringlibrary.com/content/video/V3615833514001</t>
  </si>
  <si>
    <t>Eigenvalue Assignment Design</t>
  </si>
  <si>
    <t>Eigenvalues | Electronics engineering | Control systems | Characteristic equation | Settling time | State space representation</t>
  </si>
  <si>
    <t>https://www.accessengineeringlibrary.com/content/video/V1873326715001</t>
  </si>
  <si>
    <t>Energy Conversions using Table 1-25: Video 1</t>
  </si>
  <si>
    <t>Power conversion | Electricity | Electrical engineering | Batteries | Energy measurement | Watts</t>
  </si>
  <si>
    <t>https://www.accessengineeringlibrary.com/content/video/V1931831086001</t>
  </si>
  <si>
    <t>Energy Conversions using Table 1-25: Video 2</t>
  </si>
  <si>
    <t>Power conversion | Electricity | Electrical engineering | Voltage measurement | Watts | Circuit analysis</t>
  </si>
  <si>
    <t>https://www.accessengineeringlibrary.com/content/video/V1931838137001</t>
  </si>
  <si>
    <t>Energy Systems Engineering Example 15-1</t>
  </si>
  <si>
    <t>Jeffrey Casello, Ph.D., Associate Professor, School of Planning, Department of Civil and Environmental Engineering, University of Waterloo</t>
  </si>
  <si>
    <t>Energy engineering | Drag coefficients | Speed | Gravity | Mass | Wind measurement</t>
  </si>
  <si>
    <t>https://www.accessengineeringlibrary.com/content/video/V2209878256001</t>
  </si>
  <si>
    <t>Energy Systems Engineering Example 15-2</t>
  </si>
  <si>
    <t>Energy engineering | Utility requirements | Acceleration | Gravity | Drag coefficients | Watts</t>
  </si>
  <si>
    <t>https://www.accessengineeringlibrary.com/content/video/V2209870892001</t>
  </si>
  <si>
    <t>Energy Systems Engineering Example 15-6</t>
  </si>
  <si>
    <t>Energy engineering | Fuel economy | Plug in hybrid electric vehicles | Gasoline | Electricity | Fuels</t>
  </si>
  <si>
    <t>https://www.accessengineeringlibrary.com/content/video/V2209880957001</t>
  </si>
  <si>
    <t>Energy Systems Engineering Example 16-2</t>
  </si>
  <si>
    <t>Energy engineering | Carbon dioxide | Plug in hybrid electric vehicles | Electricity | Electric power | Pollution</t>
  </si>
  <si>
    <t>https://www.accessengineeringlibrary.com/content/video/V2209878255001</t>
  </si>
  <si>
    <t>Energy Systems Engineering Example 16-3</t>
  </si>
  <si>
    <t>Energy engineering | Hybrid electric vehicles | Fuels | Internal combustion engines | Fractions | Fuel savings</t>
  </si>
  <si>
    <t>https://www.accessengineeringlibrary.com/content/video/V2209870891001</t>
  </si>
  <si>
    <t>Energy Systems Engineering Example 17-1</t>
  </si>
  <si>
    <t>Keenan Valentine, Cornell University</t>
  </si>
  <si>
    <t>Energy engineering | Hydroelectric power | Flow rate | Fluid density | Watts | Conversion efficiency</t>
  </si>
  <si>
    <t>https://www.accessengineeringlibrary.com/content/video/V2127114333001</t>
  </si>
  <si>
    <t>Energy Systems Engineering Example 17-2</t>
  </si>
  <si>
    <t>Energy engineering | Geothermal power | Temperature | Heat exchangers | Heat transfer | Unit conversion</t>
  </si>
  <si>
    <t>https://www.accessengineeringlibrary.com/content/video/V2127151915001</t>
  </si>
  <si>
    <t>Energy Systems Engineering Example 2-5</t>
  </si>
  <si>
    <t>Energy engineering | Power utilization | Fuels | Mean | Standard deviation | Normal distribution</t>
  </si>
  <si>
    <t>https://www.accessengineeringlibrary.com/content/video/V2209870893001</t>
  </si>
  <si>
    <t>Energy Systems Engineering Example 3-4</t>
  </si>
  <si>
    <t>Energy engineering | Net present value | Internal rate of return | Interest rates | Future value | Rate of return</t>
  </si>
  <si>
    <t>https://www.accessengineeringlibrary.com/content/video/V2127151998001</t>
  </si>
  <si>
    <t>Energy Systems Engineering Example 3-7</t>
  </si>
  <si>
    <t>Energy engineering | Net present value | Internal rate of return | Interest rates | Oil wells | Cash flow</t>
  </si>
  <si>
    <t>https://www.accessengineeringlibrary.com/content/video/V2127151918001</t>
  </si>
  <si>
    <t>Energy Systems Engineering Example 4-3</t>
  </si>
  <si>
    <t>Energy engineering | Carbon dioxide | Heat transfer | Gases | Atmospheric science | Temperature</t>
  </si>
  <si>
    <t>https://www.accessengineeringlibrary.com/content/video/V2127145372001</t>
  </si>
  <si>
    <t>Energy Systems Engineering Example 5-3</t>
  </si>
  <si>
    <t>Energy engineering | Petroleum | Exponents | Variance | Normal distribution | Mean</t>
  </si>
  <si>
    <t>https://www.accessengineeringlibrary.com/content/video/V2212318077001</t>
  </si>
  <si>
    <t>Energy Systems Engineering Example 6-11</t>
  </si>
  <si>
    <t>Energy engineering | Electricity | Power plants | Variable cost | Fixed costs | Linear equations</t>
  </si>
  <si>
    <t>https://www.accessengineeringlibrary.com/content/video/V2209880958001</t>
  </si>
  <si>
    <t>Energy Systems Engineering Example 6-8</t>
  </si>
  <si>
    <t>Energy engineering | Combined cycle power plants | Enthalpy | Atmospheric pressure | Rankine cycle | Heat exchangers</t>
  </si>
  <si>
    <t>https://www.accessengineeringlibrary.com/content/video/V2127114337001</t>
  </si>
  <si>
    <t>Energy Systems Engineering Example 7-3</t>
  </si>
  <si>
    <t>Energy engineering | Carbon capture | Carbon dioxide | Methane | Coal | Energy meters</t>
  </si>
  <si>
    <t>https://www.accessengineeringlibrary.com/content/video/V2127114335001</t>
  </si>
  <si>
    <t>Energy Systems Engineering Example 8-3</t>
  </si>
  <si>
    <t>Energy engineering | Nuclear fuels | Volume | Mass | Spent nuclear fuel | Fuels</t>
  </si>
  <si>
    <t>https://www.accessengineeringlibrary.com/content/video/V2127137195001</t>
  </si>
  <si>
    <t>Example 6.2 Alkalinity Consumption</t>
  </si>
  <si>
    <t>Water and Wastewater Engineering: Design Principles and Practice|Water and Wastewater Engineering: Design Principles and Practice, Second Edition</t>
  </si>
  <si>
    <t>James Stone, Professor of Environmental Engineering, South Dakota School of Mines and Technology</t>
  </si>
  <si>
    <t>Alkalinity | Wastewater engineering | Wastewater | Engine design | Coagulation | Water supply</t>
  </si>
  <si>
    <t>https://www.accessengineeringlibrary.com/content/video/V5529327017001</t>
  </si>
  <si>
    <t>Excavators</t>
  </si>
  <si>
    <t>Excavators | Earth excavation | Construction equipment | Diggings | Excavation</t>
  </si>
  <si>
    <t>https://www.accessengineeringlibrary.com/content/video/V5762523912001</t>
  </si>
  <si>
    <t>Extension Warehouse</t>
  </si>
  <si>
    <t>https://www.accessengineeringlibrary.com/content/video/V4768180275001</t>
  </si>
  <si>
    <t>Fake Fingernail</t>
  </si>
  <si>
    <t>https://www.accessengineeringlibrary.com/content/video/V4768289490001</t>
  </si>
  <si>
    <t>Feature Control Frame</t>
  </si>
  <si>
    <t>Geometric dimensioning and tolerancing | Machine design | Datums | Datum features | Geometric properties of areas | Datum reference frames</t>
  </si>
  <si>
    <t>https://www.accessengineeringlibrary.com/content/video/V2433899711001</t>
  </si>
  <si>
    <t>First Order Systems: Understanding Key Parameters</t>
  </si>
  <si>
    <t>Diane L. Peters, Ph.D., P.E., Kettering University</t>
  </si>
  <si>
    <t>First order systems | Time constant | Torque | Differential equations | Electricity | Steady state response</t>
  </si>
  <si>
    <t>https://www.accessengineeringlibrary.com/content/video/V6089742598001</t>
  </si>
  <si>
    <t>Flatness</t>
  </si>
  <si>
    <t>Machine design | Geometric dimensioning and tolerancing | Irregular surfaces | Screws | Zone control | Surface features</t>
  </si>
  <si>
    <t>https://www.accessengineeringlibrary.com/content/video/V2433975065001</t>
  </si>
  <si>
    <t>Gear Video 1: Spur Gear Drive Fundamentals</t>
  </si>
  <si>
    <t>Spur gears | Gears | Mechanical engineering | Torque | Shafts | Bevel gears</t>
  </si>
  <si>
    <t>https://www.accessengineeringlibrary.com/content/video/V1402374750001</t>
  </si>
  <si>
    <t>Gear Video 2: Bevel Gears</t>
  </si>
  <si>
    <t>Bevel gears | Mechanical engineering | Differential geometry | Gears | Shafts | Torque</t>
  </si>
  <si>
    <t>https://www.accessengineeringlibrary.com/content/video/V1402382285001</t>
  </si>
  <si>
    <t>Gear Video 3: Worm Gears</t>
  </si>
  <si>
    <t>Worm gears | Gears | Mechanical engineering | Shafts | Tangent | Motors</t>
  </si>
  <si>
    <t>https://www.accessengineeringlibrary.com/content/video/V1402382283001</t>
  </si>
  <si>
    <t>Gear Video 4: Spur Gear Selection</t>
  </si>
  <si>
    <t>Spur gears | Gears | Horsepower | Mechanical engineering | Shafts | Motors</t>
  </si>
  <si>
    <t>https://www.accessengineeringlibrary.com/content/video/V1402374747001</t>
  </si>
  <si>
    <t>Gear Video 5: Bevel Gear Selection</t>
  </si>
  <si>
    <t>Bevel gears | Horsepower | Mechanical engineering | Motors | Gears | Torque</t>
  </si>
  <si>
    <t>https://www.accessengineeringlibrary.com/content/video/V1402381079001</t>
  </si>
  <si>
    <t>Gear Video 6: Worm Gear Selection</t>
  </si>
  <si>
    <t>Worm gears | Gears | Horsepower | Mechanical engineering | Motors | Shafts</t>
  </si>
  <si>
    <t>https://www.accessengineeringlibrary.com/content/video/V1402381077001</t>
  </si>
  <si>
    <t>Gear Video 7: Spur Gear Component Forces</t>
  </si>
  <si>
    <t>Spur gears | Gears | Mechanical engineering | Load profiles | Tangent | Horsepower</t>
  </si>
  <si>
    <t>https://www.accessengineeringlibrary.com/content/video/V1402345899001</t>
  </si>
  <si>
    <t>Gear Video 8: Spur Gear Bending Stress</t>
  </si>
  <si>
    <t>Gears | Bending stress | Spur gears | Mechanical engineering | Shafts | Reliability</t>
  </si>
  <si>
    <t>https://www.accessengineeringlibrary.com/content/video/V1402349021001</t>
  </si>
  <si>
    <t>Granular Activated Carbon Bed Performance: Approximate Model for Mass Transfer Zone Thickness</t>
  </si>
  <si>
    <t>Water Quality &amp;  Treatment: A Handbook on Drinking Water, Sixth Edition</t>
  </si>
  <si>
    <t>Mass transfer models | Granular activated carbon | Water treatment | Water quality | Potable water | Adsorption</t>
  </si>
  <si>
    <t>https://www.accessengineeringlibrary.com/content/video/V4199201582001</t>
  </si>
  <si>
    <t>Granular Activated Carbon Bed Performance: Estimation of Mass Transfer Zone Thickness for a GAC Column</t>
  </si>
  <si>
    <t>Granular activated carbon | Mass transfer | Water treatment | Water quality | Potable water | Mass transfer models</t>
  </si>
  <si>
    <t>https://www.accessengineeringlibrary.com/content/video/V4199176162001</t>
  </si>
  <si>
    <t>Granular Activated Carbon Bed Performance: Sizing/configuration of GAC Column for Multiple Adsorbates using IAST</t>
  </si>
  <si>
    <t>Granular activated carbon | Water pollution | Water wells | Water treatment | Water quality | Potable water</t>
  </si>
  <si>
    <t>https://www.accessengineeringlibrary.com/content/video/V4199138221001</t>
  </si>
  <si>
    <t>Granular Activated Carbon Bed Performance: Sizing/configuration of GAC Column for Single Adsorbate</t>
  </si>
  <si>
    <t>https://www.accessengineeringlibrary.com/content/video/V4199138224001</t>
  </si>
  <si>
    <t>Granular Media Filtration  Video One: Media Selection for Dual Medium Filtration</t>
  </si>
  <si>
    <t>Granular media filtration | Filtration performance | Water treatment | Water quality | Potable water | Flow velocity</t>
  </si>
  <si>
    <t>https://www.accessengineeringlibrary.com/content/video/V4199138220001</t>
  </si>
  <si>
    <t>Granular Media Filtration Video 4: Analysis of Filter Medium Segregation after Backwashing</t>
  </si>
  <si>
    <t>Backwashing | Granular media filtration | Water treatment | Water quality | Potable water | Human resource development</t>
  </si>
  <si>
    <t>https://www.accessengineeringlibrary.com/content/video/V4199201577001</t>
  </si>
  <si>
    <t>Granular Media Filtration Video 5: On Particle Sphericity</t>
  </si>
  <si>
    <t>Granular media filtration | Water treatment | Water quality | Potable water | Hydraulic oils | Spherical surfaces</t>
  </si>
  <si>
    <t>https://www.accessengineeringlibrary.com/content/video/V4199176156001</t>
  </si>
  <si>
    <t>Granular Media Filtration Video Three: Computation of Backwash Bed Expansion and Backwash Flow Rate</t>
  </si>
  <si>
    <t>Granular media filtration | Flow rate | Water treatment | Water quality | Potable water | Backwashing</t>
  </si>
  <si>
    <t>https://www.accessengineeringlibrary.com/content/video/V4199176157001</t>
  </si>
  <si>
    <t>Granular Media Filtration Video Two: Computation of Clean-bed Head Loss</t>
  </si>
  <si>
    <t>Pressure drop | Granular media filtration | Water treatment | Water quality | Potable water | Spherical surfaces</t>
  </si>
  <si>
    <t>https://www.accessengineeringlibrary.com/content/video/V4199201580001</t>
  </si>
  <si>
    <t>Handbook of Chemical Engineering Calculations Video 1.1 Molar Gas Constant</t>
  </si>
  <si>
    <t>M. Hossein Hariri, Professor of Chemical Engineering, Rose-Hulman Institute of Technology</t>
  </si>
  <si>
    <t>Chemical engineering | Gas constant | Gas pressure | Horsepower | Volume | Unit conversion</t>
  </si>
  <si>
    <t>https://www.accessengineeringlibrary.com/content/video/V4620147563001</t>
  </si>
  <si>
    <t>Handbook of Chemical Engineering Calculations Video 1.11 Enthalpy Difference for Ideal Gas</t>
  </si>
  <si>
    <t>Enthalpy | Chemical engineering | Ideal gas law | Integrals | Temperature</t>
  </si>
  <si>
    <t>https://www.accessengineeringlibrary.com/content/video/V4620147578001</t>
  </si>
  <si>
    <t>Handbook of Chemical Engineering Calculations Video 1.15 Entropy Involving a Phase Change</t>
  </si>
  <si>
    <t>Chemical engineering | Entropy | Phase transitions | Volatilization | Fusion | Boiling point</t>
  </si>
  <si>
    <t>https://www.accessengineeringlibrary.com/content/video/V4620147579001</t>
  </si>
  <si>
    <t>Handbook of Chemical Engineering Calculations Video 1.2 Estimation of Critical Temperature from Empirical Correlation</t>
  </si>
  <si>
    <t>Critical temperature | Chemical engineering | Boiling point | Benzene | Hydrocarbons | Fluid specific gravity</t>
  </si>
  <si>
    <t>https://www.accessengineeringlibrary.com/content/video/V4620147575001</t>
  </si>
  <si>
    <t>Handbook of Chemical Engineering Calculations Video 1.4 Redlich-Kwong Equation of State</t>
  </si>
  <si>
    <t>Chemical engineering | Equations of state | Volume | Critical temperature | Critical pressure | Gas constant</t>
  </si>
  <si>
    <t>https://www.accessengineeringlibrary.com/content/video/V4620128847001</t>
  </si>
  <si>
    <t>Handbook of Chemical Engineering Calculations Video 1.6 Density of a Gas Mixture</t>
  </si>
  <si>
    <t>Fluid density | Chemical engineering | Gas mixtures | Natural gas | Compressibility factor | Molecular weights</t>
  </si>
  <si>
    <t>https://www.accessengineeringlibrary.com/content/video/V4620155041001</t>
  </si>
  <si>
    <t>Handbook of Chemical Engineering Calculations Video 1.7 Estimation of Liquid Density</t>
  </si>
  <si>
    <t>Fluid density | Chemical engineering | Ammonia | Critical temperature | Volume | Specific volume</t>
  </si>
  <si>
    <t>https://www.accessengineeringlibrary.com/content/video/V4620147576001</t>
  </si>
  <si>
    <t>Handbook of Chemical Engineering Calculations Video 1.9 Heat Capacity of Real Gases</t>
  </si>
  <si>
    <t>Heat capacity | Chemical engineering | Gases | Ethane | Ideal gas law | Gas pressure</t>
  </si>
  <si>
    <t>https://www.accessengineeringlibrary.com/content/video/V4620155044001</t>
  </si>
  <si>
    <t>Handbook of Chemical Engineering Calculations Video 6.1 Bernoulli's Theorem and Equation of Continuity</t>
  </si>
  <si>
    <t>Chemical engineering | Conservation of mass | Pressure drop | Pipes | Flow velocity | Fluid density</t>
  </si>
  <si>
    <t>https://www.accessengineeringlibrary.com/content/video/V4620128848001</t>
  </si>
  <si>
    <t>Handbook of Chemical Engineering Calculations Video 6.2 Specific Gravity and Viscosity of Liquids</t>
  </si>
  <si>
    <t>Chemical engineering | Fluid specific gravity | Specific viscosity | Viscous fluids | Gravity | Absolute viscosity</t>
  </si>
  <si>
    <t>https://www.accessengineeringlibrary.com/content/video/V4620155046001</t>
  </si>
  <si>
    <t>Handbook of Chemical Engineering Calculations Video 6.3 Pressure Loss in Piping with Laminar Flow</t>
  </si>
  <si>
    <t>Laminar flow | Chemical engineering | Piping | Pipe flow | Static pressure | Pumping</t>
  </si>
  <si>
    <t>https://www.accessengineeringlibrary.com/content/video/V4620155047001</t>
  </si>
  <si>
    <t>Handbook of Chemical Engineering Calculations Video 6.5 Equivalent of a Complex-Series Pipeline</t>
  </si>
  <si>
    <t>Chemical engineering | Pipelines | Pipes | Friction factors</t>
  </si>
  <si>
    <t>https://www.accessengineeringlibrary.com/content/video/V4620155048001</t>
  </si>
  <si>
    <t>Handbook of Chemical Engineering Calculations Video 6.8 Relative Carrying Capacity of Pipes</t>
  </si>
  <si>
    <t>Pipes | Chemical engineering | Gas pipes</t>
  </si>
  <si>
    <t>https://www.accessengineeringlibrary.com/content/video/V4620155049001</t>
  </si>
  <si>
    <t>Handbook of Chemical Engineering Calculations Video 7.5 Heat Loss from a Buried Line</t>
  </si>
  <si>
    <t>Chemical engineering | Soils | Thermal conductivity | Temperature | Pipes | Surface topography</t>
  </si>
  <si>
    <t>https://www.accessengineeringlibrary.com/content/video/V4620171674001</t>
  </si>
  <si>
    <t>Handbook of Chemical Engineering Calculations Video 7.8 Batch Heating: Internal Coil, Isothermal Heating Medium</t>
  </si>
  <si>
    <t>Chemical engineering | Specific heat | Temperature | Mass</t>
  </si>
  <si>
    <t>https://www.accessengineeringlibrary.com/content/video/V4620155050001</t>
  </si>
  <si>
    <t>Handbook of Mechanical Engineering Calculations 26.11: Total Feed Rate and Cutting Time</t>
  </si>
  <si>
    <t>Rana Mitra, Ph.D, Associate Professor of Engineering Technology, Southeastern Louisiana University</t>
  </si>
  <si>
    <t>Mechanical engineering | Metalworking | Metals | Machining</t>
  </si>
  <si>
    <t>https://www.accessengineeringlibrary.com/content/video/V2812434227001</t>
  </si>
  <si>
    <t>Handbook of Mechanical Engineering Calculations 26.12: True Unit Time, Minimum Lot Size and Tool-Change Time</t>
  </si>
  <si>
    <t>Mechanical engineering | Metalworking | Process time | Lathes</t>
  </si>
  <si>
    <t>https://www.accessengineeringlibrary.com/content/video/V2812434228001</t>
  </si>
  <si>
    <t>Handbook of Mechanical Engineering Calculations 26.38: Determining Brinell Hardness</t>
  </si>
  <si>
    <t>Brinell hardness | Mechanical engineering | Steel | Materials analysis | Knoop hardness | Hardness testing</t>
  </si>
  <si>
    <t>https://www.accessengineeringlibrary.com/content/video/V2812434229001</t>
  </si>
  <si>
    <t>Handbook of Mechanical Engineering Calculations 26.5: Machine Process Calculations - Total Element Time and Total Operation Time</t>
  </si>
  <si>
    <t>Process time | Mechanical engineering | Metalworking | Machining | Manufacturing | Quality management</t>
  </si>
  <si>
    <t>https://www.accessengineeringlibrary.com/content/video/V2812434224001</t>
  </si>
  <si>
    <t>Handbook of Mechanical Engineering Calculations 26.6: Cutting Speeds for Various Materials</t>
  </si>
  <si>
    <t>Mechanical engineering | Metals | Manufacturing</t>
  </si>
  <si>
    <t>https://www.accessengineeringlibrary.com/content/video/V2812434225001</t>
  </si>
  <si>
    <t>Handbook of Mechanical Engineering Calculations 26.7: Depth of Cut and Cutting Time for a Keyway</t>
  </si>
  <si>
    <t>Keyways | Mechanical engineering | Metalworking | Shafts</t>
  </si>
  <si>
    <t>https://www.accessengineeringlibrary.com/content/video/V2812434226001</t>
  </si>
  <si>
    <t>Handbook of Mechanical Engineering Calculations 8.1: Pressure Surge in a Piping System from Rapid Valve Closure</t>
  </si>
  <si>
    <t>Mechanical engineering | Valves | Piping systems | P waves | Pipes | Pipe flow</t>
  </si>
  <si>
    <t>https://www.accessengineeringlibrary.com/content/video/V2812434215001</t>
  </si>
  <si>
    <t>Handbook of Mechanical Engineering Calculations 8.11: Selecting Heat Insulation for High-Temperature Piping</t>
  </si>
  <si>
    <t>Mechanical engineering | Piping | Temperature | Pipes | Fuels | Watts</t>
  </si>
  <si>
    <t>https://www.accessengineeringlibrary.com/content/video/V2812434220001</t>
  </si>
  <si>
    <t>Handbook of Mechanical Engineering Calculations 8.15: Friction-Head Loss in Water Piping of Various Materials</t>
  </si>
  <si>
    <t>Mechanical engineering | Piping | Pipes | Pressure drop | Friction loss | Pipe flow</t>
  </si>
  <si>
    <t>https://www.accessengineeringlibrary.com/content/video/V2812434221001</t>
  </si>
  <si>
    <t>Handbook of Mechanical Engineering Calculations 8.17: Relative Carrying Capacity of Pipes</t>
  </si>
  <si>
    <t>Pipes | Mechanical engineering | Gases | Atmospheric science | Piping</t>
  </si>
  <si>
    <t>https://www.accessengineeringlibrary.com/content/video/V2812434222001</t>
  </si>
  <si>
    <t>Handbook of Mechanical Engineering Calculations 8.2: Piping Pressure Surge with Different Material and Fluid</t>
  </si>
  <si>
    <t>Mechanical engineering | Piping | Pipes | Valves | Piping systems | P waves</t>
  </si>
  <si>
    <t>https://www.accessengineeringlibrary.com/content/video/V2812434216001</t>
  </si>
  <si>
    <t>Handbook of Mechanical Engineering Calculations 8.20: Equivalent Length of a Complex Series Pipeline</t>
  </si>
  <si>
    <t>Mechanical engineering | Pipelines | Pipes | Friction factors | Water wells | Water pipelines</t>
  </si>
  <si>
    <t>https://www.accessengineeringlibrary.com/content/video/V2812434223001</t>
  </si>
  <si>
    <t>Handbook of Mechanical Engineering Calculations 8.4: Quick Calculation of Flow Rate and Pressure Drop in Piping Systems</t>
  </si>
  <si>
    <t>Flow rate | Pressure drop | Mechanical engineering | Piping systems | Pipe flow | Static pressure</t>
  </si>
  <si>
    <t>https://www.accessengineeringlibrary.com/content/video/V2812434217001</t>
  </si>
  <si>
    <t>Handbook of Mechanical Engineering Calculations 8.6: Pipe-Wall Thickness and Schedule Number</t>
  </si>
  <si>
    <t>Mechanical engineering | Pipes | Flow velocity | Piping | Flow rate | Specific volume</t>
  </si>
  <si>
    <t>https://www.accessengineeringlibrary.com/content/video/V2812434218001</t>
  </si>
  <si>
    <t>Handbook of Mechanical Engineering Calculations 8.7: Pipe-Wall Thickness Determination by Piping Code Formula</t>
  </si>
  <si>
    <t>Mechanical engineering | Piping | Pipes | Allowable stress | Temperature coefficients | Steel</t>
  </si>
  <si>
    <t>https://www.accessengineeringlibrary.com/content/video/V2812434219001</t>
  </si>
  <si>
    <t>High Pass Chebyshev Filter Design: Example 1</t>
  </si>
  <si>
    <t>Chebyshev filters | Electronics engineering | Electronic filters | Voltage sources | Polynomials | Inductors</t>
  </si>
  <si>
    <t>https://www.accessengineeringlibrary.com/content/video/V1873313002001</t>
  </si>
  <si>
    <t>High Pass Chebyshev Filter Design: Example 2</t>
  </si>
  <si>
    <t>Chebyshev filters | Electronics engineering | Prototyping | Capacitors | Inductors | High pass filters</t>
  </si>
  <si>
    <t>https://www.accessengineeringlibrary.com/content/video/V1873313005001</t>
  </si>
  <si>
    <t>Hollow Square-Section Fixed-Fixed Beam Analysis</t>
  </si>
  <si>
    <t>Structural beams | Mechanical engineering | Stress | Walls | Bending stress | Moment of inertia</t>
  </si>
  <si>
    <t>https://www.accessengineeringlibrary.com/content/video/V1402349030001</t>
  </si>
  <si>
    <t>HVAC System Sizing Design Example Part 1: Heat Transfer Coefficients</t>
  </si>
  <si>
    <t>Heat transfer coefficients | HVAC systems | HVAC design | Mechanical engineering | Walls | Roofing</t>
  </si>
  <si>
    <t>https://www.accessengineeringlibrary.com/content/video/V1402345902001</t>
  </si>
  <si>
    <t>HVAC System Sizing Design Example Part 2: Heating and Cooling Loads</t>
  </si>
  <si>
    <t>Cooling | Heating load | HVAC systems | HVAC design | Design load | Mechanical engineering</t>
  </si>
  <si>
    <t>https://www.accessengineeringlibrary.com/content/video/V1402374716001</t>
  </si>
  <si>
    <t>HVAC System Sizing Design Example Part 3: Ventilation and Psychrometrics</t>
  </si>
  <si>
    <t>Ventilation | Psychrometry | HVAC systems | HVAC design | Mechanical engineering | Heating load</t>
  </si>
  <si>
    <t>https://www.accessengineeringlibrary.com/content/video/V1402349025001</t>
  </si>
  <si>
    <t>HVAC System Sizing Design Example Part 4: System Layout and Duct Sizing</t>
  </si>
  <si>
    <t>HVAC systems | Duct design | HVAC design | Mechanical engineering | Ductwork | Roofing</t>
  </si>
  <si>
    <t>https://www.accessengineeringlibrary.com/content/video/V1402374715001</t>
  </si>
  <si>
    <t>I2R loss for a DC System</t>
  </si>
  <si>
    <t>Electricity | Electrical engineering | Circuits | Voltage regulation | Voltage drop | Direct current</t>
  </si>
  <si>
    <t>https://www.accessengineeringlibrary.com/content/video/V1931831111001</t>
  </si>
  <si>
    <t>I2R loss for an AC System</t>
  </si>
  <si>
    <t>Electricity | Electrical engineering | Power factor | Apparent power | Impedance | Cosine</t>
  </si>
  <si>
    <t>https://www.accessengineeringlibrary.com/content/video/V1931838143001</t>
  </si>
  <si>
    <t>Import an STL File</t>
  </si>
  <si>
    <t>https://www.accessengineeringlibrary.com/content/video/V4768134738001</t>
  </si>
  <si>
    <t>Inferences</t>
  </si>
  <si>
    <t>https://www.accessengineeringlibrary.com/content/video/V4768153298001</t>
  </si>
  <si>
    <t>Innovation Secrets of Steve Jobs: Do What You Love</t>
  </si>
  <si>
    <t>Carmine Gallo, Communications Coach and Author, Innovation Secrets of Steve Jobs</t>
  </si>
  <si>
    <t>https://www.accessengineeringlibrary.com/content/video/V3187552890001</t>
  </si>
  <si>
    <t>Innovation Secrets of Steve Jobs: Don't Let the Bozos Get You Down</t>
  </si>
  <si>
    <t>https://www.accessengineeringlibrary.com/content/video/V3187552898001</t>
  </si>
  <si>
    <t>Innovation Secrets of Steve Jobs: Introduction</t>
  </si>
  <si>
    <t>https://www.accessengineeringlibrary.com/content/video/V3187552889001</t>
  </si>
  <si>
    <t>Innovation Secrets of Steve Jobs: Master the Message</t>
  </si>
  <si>
    <t>https://www.accessengineeringlibrary.com/content/video/V3187552897001</t>
  </si>
  <si>
    <t>Innovation Secrets of Steve Jobs: Put a Dent in the Universe</t>
  </si>
  <si>
    <t>https://www.accessengineeringlibrary.com/content/video/V3187552892001</t>
  </si>
  <si>
    <t>Innovation Secrets of Steve Jobs: See Genius in Their Craziness</t>
  </si>
  <si>
    <t>https://www.accessengineeringlibrary.com/content/video/V3187552894001</t>
  </si>
  <si>
    <t>Innovation Secrets of Steve Jobs: Seek Out New Experiences</t>
  </si>
  <si>
    <t>https://www.accessengineeringlibrary.com/content/video/V3187552893001</t>
  </si>
  <si>
    <t>Innovation Secrets of Steve Jobs: Think Differently About Design</t>
  </si>
  <si>
    <t>https://www.accessengineeringlibrary.com/content/video/V3187552895001</t>
  </si>
  <si>
    <t>Innovation Secrets of Steve Jobs: Think Differently About Your Career</t>
  </si>
  <si>
    <t>https://www.accessengineeringlibrary.com/content/video/V3187552891001</t>
  </si>
  <si>
    <t>Innovation Secrets of Steve Jobs: Think Differently About Your Experience</t>
  </si>
  <si>
    <t>https://www.accessengineeringlibrary.com/content/video/V3187552896001</t>
  </si>
  <si>
    <t>Laplace Analysis: Example 1</t>
  </si>
  <si>
    <t>Electricity | Electrical engineering | Laplace transform | Voltage | Direct current | DC circuit analysis</t>
  </si>
  <si>
    <t>https://www.accessengineeringlibrary.com/content/video/V1931838140001</t>
  </si>
  <si>
    <t>Laplace Analysis: Example 2</t>
  </si>
  <si>
    <t>Electricity | Electrical engineering | Laplace transform | Circuit analysis | Sine | Frequency domains</t>
  </si>
  <si>
    <t>https://www.accessengineeringlibrary.com/content/video/V1931803551001</t>
  </si>
  <si>
    <t>Large Central Station Turbine-Generator Performance</t>
  </si>
  <si>
    <t>Mechanical engineering | Coal | Heat rate | Boilers | Turbines | Thermodynamic efficiency</t>
  </si>
  <si>
    <t>https://www.accessengineeringlibrary.com/content/video/V1402349023001</t>
  </si>
  <si>
    <t>Layers and the Outliner</t>
  </si>
  <si>
    <t>https://www.accessengineeringlibrary.com/content/video/V4768289493001</t>
  </si>
  <si>
    <t>Length Conversions using Table 1-15: Video 1</t>
  </si>
  <si>
    <t>Electricity | Electrical engineering | Speed of light | Signal conditioning</t>
  </si>
  <si>
    <t>https://www.accessengineeringlibrary.com/content/video/V1931854273001</t>
  </si>
  <si>
    <t>Length Conversions using Table 1-15: Video 2</t>
  </si>
  <si>
    <t>https://www.accessengineeringlibrary.com/content/video/V1931838150001</t>
  </si>
  <si>
    <t>Lime Soda Softening Video Four: Excess Lime Split Treatment Softening - Reagent Doses and Residuals Production</t>
  </si>
  <si>
    <t>Lime soda softening | Reagents | Excess lime softening | Water treatment | Water quality | Potable water</t>
  </si>
  <si>
    <t>https://www.accessengineeringlibrary.com/content/video/V4199201572001amp</t>
  </si>
  <si>
    <t>Lime Soda Softening Video One: Construction of a Raw Water Bar Diagram</t>
  </si>
  <si>
    <t>Raw water | Lime soda softening | Water quality | Water treatment | Potable water | Unit conversion</t>
  </si>
  <si>
    <t>https://www.accessengineeringlibrary.com/content/video/V4199138215001</t>
  </si>
  <si>
    <t>Lime Soda Softening Video Three: Straight and Lime-soda Softening Residuals Production Computations</t>
  </si>
  <si>
    <t>Lime soda softening | Water treatment | Water quality | Potable water | Lime softening | Water softening</t>
  </si>
  <si>
    <t>https://www.accessengineeringlibrary.com/content/video/V4199138214001</t>
  </si>
  <si>
    <t>Lime Soda Softening Video Two: Straight and Lime-soda Softening Reagent Dose Computations</t>
  </si>
  <si>
    <t>Lime soda softening | Reagents | Water treatment | Water quality | Potable water | Water softening</t>
  </si>
  <si>
    <t>https://www.accessengineeringlibrary.com/content/video/V4199176154001</t>
  </si>
  <si>
    <t>Load for Two-wire Branch Lighting Circuit</t>
  </si>
  <si>
    <t>Branch circuits | Electricity | Watts | Allowable load | Incandescent lamps</t>
  </si>
  <si>
    <t>https://www.accessengineeringlibrary.com/content/video/V3422515620001</t>
  </si>
  <si>
    <t>Loaders</t>
  </si>
  <si>
    <t>Loaders | Construction equipment | Earth excavation | Construction materials</t>
  </si>
  <si>
    <t>https://www.accessengineeringlibrary.com/content/video/V5762522090001</t>
  </si>
  <si>
    <t>Load-Regulation and Load-Dump Accuracy</t>
  </si>
  <si>
    <t>Loaders | Load regulation | Capacitors | Voltage regulation | Voltage output | Electron paramagnetic resonance</t>
  </si>
  <si>
    <t>https://www.accessengineeringlibrary.com/content/video/V3705146112001</t>
  </si>
  <si>
    <t>Low Pass Bessel Filter Design: Example 1</t>
  </si>
  <si>
    <t>Electronics engineering | Delay time | Electronic filters | Prototyping | Voltage sources | Low pass filters</t>
  </si>
  <si>
    <t>https://www.accessengineeringlibrary.com/content/video/V1873313000001</t>
  </si>
  <si>
    <t>Low Pass Bessel Filter Design: Example 2</t>
  </si>
  <si>
    <t>Electronics engineering | Delay time | Electronic filters | Prototyping | Series inductors | Capacitors</t>
  </si>
  <si>
    <t>https://www.accessengineeringlibrary.com/content/video/V1873326704001</t>
  </si>
  <si>
    <t>Low Pass Butterworth Filter Design: Example 1</t>
  </si>
  <si>
    <t>Butterworth filters | Electronics engineering | Derivatives | Prototyping | Inductors | Circuits</t>
  </si>
  <si>
    <t>https://www.accessengineeringlibrary.com/content/video/V1873289102001</t>
  </si>
  <si>
    <t>Low Pass Butterworth Filter Design: Example 2</t>
  </si>
  <si>
    <t>Butterworth filters | Electronics engineering | Cutoff frequency | Prototyping | Electronic filters | Capacitors</t>
  </si>
  <si>
    <t>https://www.accessengineeringlibrary.com/content/video/V1873289103001</t>
  </si>
  <si>
    <t>LQR Regulator Problem</t>
  </si>
  <si>
    <t>Regulators | Electronics engineering | Control systems | Algebra | Performance requirements | Feedback control systems</t>
  </si>
  <si>
    <t>https://www.accessengineeringlibrary.com/content/video/V1873313016001</t>
  </si>
  <si>
    <t>Making a 3D-Printable Model</t>
  </si>
  <si>
    <t>https://www.accessengineeringlibrary.com/content/video/V4768134739001</t>
  </si>
  <si>
    <t>Manage Stickiness with Groups</t>
  </si>
  <si>
    <t>https://www.accessengineeringlibrary.com/content/video/V4768289495001</t>
  </si>
  <si>
    <t>Maximum Demand</t>
  </si>
  <si>
    <t>Electricity | Voltage | Branch circuits</t>
  </si>
  <si>
    <t>https://www.accessengineeringlibrary.com/content/video/V3422515621001</t>
  </si>
  <si>
    <t>Maximum Stress in a Curved Beam</t>
  </si>
  <si>
    <t>Curved beams | Allowable bending stress | Geometric properties of areas | Ellipses | Geometric equations | Stress</t>
  </si>
  <si>
    <t>https://www.accessengineeringlibrary.com/content/video/V1836229556001</t>
  </si>
  <si>
    <t>Measurement Systems R&amp;R Analysis using ANOVA</t>
  </si>
  <si>
    <t>Analysis of variance | Repeatabilty and reproducibility analysis | Measurement systems analysis | Systems analysis | Six Sigma | Range charts</t>
  </si>
  <si>
    <t>https://www.accessengineeringlibrary.com/content/video/V3615833504001</t>
  </si>
  <si>
    <t>Measurement Systems Repeatability &amp;  Reproducibility (R &amp; R) Analysis</t>
  </si>
  <si>
    <t>Repeatabilty and reproducibility analysis | Measurement systems analysis | Systems analysis | Six Sigma | Control charts | X bar control charts</t>
  </si>
  <si>
    <t xml:space="preserve">https://www.accessengineeringlibrary.com/content/video/V3615833503001 </t>
  </si>
  <si>
    <t>Minimum Allowable Load</t>
  </si>
  <si>
    <t>Allowable load | Electricity | Voltage | Line voltage | Wiring | Electrical load</t>
  </si>
  <si>
    <t>https://www.accessengineeringlibrary.com/content/video/V3422515622001</t>
  </si>
  <si>
    <t>MMC and Circle M</t>
  </si>
  <si>
    <t>Machine design | Geometric dimensioning and tolerancing | Machining | Shafts | Positional tolerances | Datum features</t>
  </si>
  <si>
    <t>https://www.accessengineeringlibrary.com/content/video/V2433975075001</t>
  </si>
  <si>
    <t>Moment and Shear in Uniformly Loaded Continuous Beams</t>
  </si>
  <si>
    <t>Shear load | Continuous beams | Mechanical engineering | Shear diagrams | Shear force | Bending moment diagrams</t>
  </si>
  <si>
    <t>https://www.accessengineeringlibrary.com/content/video/V1402381085001</t>
  </si>
  <si>
    <t>Motion Control Example</t>
  </si>
  <si>
    <t>Electronics engineering | Control systems | Settling time | Steady state error | Step response | Root locus method</t>
  </si>
  <si>
    <t>https://www.accessengineeringlibrary.com/content/video/V1873340325001</t>
  </si>
  <si>
    <t>Outdoor Air Requirements for Ventilation</t>
  </si>
  <si>
    <t>Ventilation | Mechanical engineering | Indoor air quality | Ductwork | Air pollution | Exterior columns</t>
  </si>
  <si>
    <t>https://www.accessengineeringlibrary.com/content/video/V1402381084001</t>
  </si>
  <si>
    <t>Pacman Ghost</t>
  </si>
  <si>
    <t>https://www.accessengineeringlibrary.com/content/video/V4768180276001</t>
  </si>
  <si>
    <t>Pencil Holder</t>
  </si>
  <si>
    <t>3d printing</t>
  </si>
  <si>
    <t>https://www.accessengineeringlibrary.com/content/video/V4768134740001</t>
  </si>
  <si>
    <t>Percentage Line Drop</t>
  </si>
  <si>
    <t>Voltage loss | Electricity | Power transmission | Electric power systems | Voltage drop | Line voltage</t>
  </si>
  <si>
    <t>https://www.accessengineeringlibrary.com/content/video/V3422515623001</t>
  </si>
  <si>
    <t>Perpendicularity</t>
  </si>
  <si>
    <t>Machine design | Geometric dimensioning and tolerancing | Datum features | Datums | Material surfaces</t>
  </si>
  <si>
    <t>https://www.accessengineeringlibrary.com/content/video/V2433975067001</t>
  </si>
  <si>
    <t>Perry's Handbook Example 12-1 Video Solution</t>
  </si>
  <si>
    <t>Chemical engineering | Thermodynamic properties | Psychrometric charts | Enthalpy | Dry bulb temperature | Relative humidity</t>
  </si>
  <si>
    <t>https://www.accessengineeringlibrary.com/content/video/V1441287631001</t>
  </si>
  <si>
    <t>Chemical engineering | Thermodynamic properties | Psychrometric charts | Enthalpy | Wet bulb temperature | Specific volume</t>
  </si>
  <si>
    <t>https://www.accessengineeringlibrary.com/content/video/V1441287628001</t>
  </si>
  <si>
    <t>Perry's Handbook Example 12-10 Video Solution</t>
  </si>
  <si>
    <t>Chemical engineering | Storm sewer inlets | Liquid cooling | Wet bulb temperature | Enthalpy | Cooling towers</t>
  </si>
  <si>
    <t>https://www.accessengineeringlibrary.com/content/video/V1441275934001</t>
  </si>
  <si>
    <t>Perry's Handbook Example 12-11 Video Solution</t>
  </si>
  <si>
    <t>Chemical engineering | Wet bulb temperature | Cooling towers | Temperature</t>
  </si>
  <si>
    <t>https://www.accessengineeringlibrary.com/content/video/V1441301820001</t>
  </si>
  <si>
    <t>Perry's Handbook Example 12-12 Video Solution</t>
  </si>
  <si>
    <t>Horsepower | Chemical engineering | Wet bulb temperature | Cooling fans | Cooling towers</t>
  </si>
  <si>
    <t>https://www.accessengineeringlibrary.com/content/video/V1441301817001</t>
  </si>
  <si>
    <t>Perry's Handbook Example 12-13 Video Solution</t>
  </si>
  <si>
    <t>Chemical engineering | Cooling towers | Wet bulb temperature | Water wells | Cooling | Well water</t>
  </si>
  <si>
    <t>https://www.accessengineeringlibrary.com/content/video/V1441301815001</t>
  </si>
  <si>
    <t>Perry's Handbook Example 12-14 Video Solution</t>
  </si>
  <si>
    <t>Chemical engineering | Cooling towers | Evaporation | Flow rate | Evaporative water loss | Temperature</t>
  </si>
  <si>
    <t>https://www.accessengineeringlibrary.com/content/video/V1441275933001</t>
  </si>
  <si>
    <t>Perry's Handbook Example 12-15 Video Solution</t>
  </si>
  <si>
    <t>Mass balance | Humidity | Chemical engineering | Conservation of energy | Water vapor | Enthalpy</t>
  </si>
  <si>
    <t>https://www.accessengineeringlibrary.com/content/video/V1441301819001</t>
  </si>
  <si>
    <t>Perry's Handbook Example 12-16 Video Solution</t>
  </si>
  <si>
    <t>Drying rates | Chemical engineering | Mass | Mass balance | Moisture content | Mass transfer coefficient</t>
  </si>
  <si>
    <t>https://www.accessengineeringlibrary.com/content/video/V1441287620001</t>
  </si>
  <si>
    <t>Perry's Handbook Example 12-17 Video Solution</t>
  </si>
  <si>
    <t>Chemical engineering | Mass balance | Humidity | Conservation of energy | Water vapor | Relative humidity</t>
  </si>
  <si>
    <t>https://www.accessengineeringlibrary.com/content/video/V1441301822001</t>
  </si>
  <si>
    <t>Perry's Handbook Example 12-18 Video Solution</t>
  </si>
  <si>
    <t>Vapor pressure | Psychrometric charts | Chemical engineering | Relative humidity | Humidity | Partial pressure</t>
  </si>
  <si>
    <t>https://www.accessengineeringlibrary.com/content/video/V1441275935001</t>
  </si>
  <si>
    <t>Perry's Handbook Example 12-19 Video Solution</t>
  </si>
  <si>
    <t>Chemical engineering | Psychrometric charts | Flow rate | Gas flow rate | Humidity | Air density</t>
  </si>
  <si>
    <t>https://www.accessengineeringlibrary.com/content/video/V1441301821001</t>
  </si>
  <si>
    <t>Perry's Handbook Example 12-20 Video Solution</t>
  </si>
  <si>
    <t>Chemical engineering | Prototyping | Wet bulb temperature | Dry bulb temperature | Vacuums | Humidity</t>
  </si>
  <si>
    <t>https://www.accessengineeringlibrary.com/content/video/V1441287627001</t>
  </si>
  <si>
    <t>Perry's Handbook Example 12-21 Video Solution</t>
  </si>
  <si>
    <t>Chemical engineering | Humidity | Moisture content | Wet bulb temperature | Drying rates | Enthalpy</t>
  </si>
  <si>
    <t>https://www.accessengineeringlibrary.com/content/video/V1441287622001</t>
  </si>
  <si>
    <t>Perry's Handbook Example 12-22 Video Solution</t>
  </si>
  <si>
    <t>Drying rates | Moisture content | Chemical engineering | Solid geometry | Volume | Heat transfer coefficients</t>
  </si>
  <si>
    <t>https://www.accessengineeringlibrary.com/content/video/V1441287619001</t>
  </si>
  <si>
    <t>Perry's Handbook Example 12-23 Video Solution</t>
  </si>
  <si>
    <t>Chemical engineering | Rotary dryers | Geometric equations | Particle velocity | Equations of motion | Solids residence time</t>
  </si>
  <si>
    <t>https://www.accessengineeringlibrary.com/content/video/V1441266362001</t>
  </si>
  <si>
    <t>Perry's Handbook Example 12-24 Video Solution</t>
  </si>
  <si>
    <t>Chemical engineering | Thermodynamic efficiency | Radiation | Drying rates | Convective heat transfer | Slurries</t>
  </si>
  <si>
    <t>https://www.accessengineeringlibrary.com/content/video/V1450345433001</t>
  </si>
  <si>
    <t>Perry's Handbook Example 12-3 Video Solution</t>
  </si>
  <si>
    <t>Chemical engineering | Enthalpy | Thermodynamic properties | Humidity | Evaporative cooling | Dry bulb temperature</t>
  </si>
  <si>
    <t>https://www.accessengineeringlibrary.com/content/video/V1441301826001</t>
  </si>
  <si>
    <t>Perry's Handbook Example 12-4 Video Solution</t>
  </si>
  <si>
    <t>Cooling | Chemical engineering | Moisture content | Air streams | Enthalpy | Dry bulb temperature</t>
  </si>
  <si>
    <t>https://www.accessengineeringlibrary.com/content/video/V1441301825001</t>
  </si>
  <si>
    <t>Perry's Handbook Example 12-5 Video Solution</t>
  </si>
  <si>
    <t>Chemical engineering | Cooling towers | Heating load | Enthalpy | Quality control | Conservation of energy</t>
  </si>
  <si>
    <t>https://www.accessengineeringlibrary.com/content/video/V1441287629001</t>
  </si>
  <si>
    <t>Perry's Handbook Example 12-6 Video Solution</t>
  </si>
  <si>
    <t>Chemical engineering | Heating load | Air dryers | Enthalpy | Recirculating air | Dry bulb temperature</t>
  </si>
  <si>
    <t>https://www.accessengineeringlibrary.com/content/video/V1441327345001</t>
  </si>
  <si>
    <t>Perry's Handbook Example 12-7 Video Solution</t>
  </si>
  <si>
    <t>Chemical engineering | Enthalpy | Dew point | Water vapor | Dry bulb temperature | Atmospheric pressure</t>
  </si>
  <si>
    <t>https://www.accessengineeringlibrary.com/content/video/V1441301823001</t>
  </si>
  <si>
    <t>Perry's Handbook Example 12-8 Video Solution</t>
  </si>
  <si>
    <t>Humidity | Chemical engineering | Psychrometric charts | Vapor pressure | Atmospheric pressure | Wet bulb temperature</t>
  </si>
  <si>
    <t>https://www.accessengineeringlibrary.com/content/video/V1441275936001</t>
  </si>
  <si>
    <t>Perry's Handbook Example 12-9 Video Solution</t>
  </si>
  <si>
    <t>Chemical engineering | Psychrometry | Wet bulb temperature | Total pressure | Nitrogen | Vapor pressure</t>
  </si>
  <si>
    <t>https://www.accessengineeringlibrary.com/content/video/V1441275937001</t>
  </si>
  <si>
    <t>Perry's Handbook Example 13-11 Video Solution</t>
  </si>
  <si>
    <t>Chemical engineering | Distillation trays | Distillation columns | Mass transfer coefficient | Schmidt number | Fluid dynamics</t>
  </si>
  <si>
    <t>https://www.accessengineeringlibrary.com/content/video/V1955115574001</t>
  </si>
  <si>
    <t>Perry's Handbook Example 13-12 Video Solution</t>
  </si>
  <si>
    <t>Packed columns | Chemical engineering | Flow velocity | Volume | Phase velocity | Material surfaces</t>
  </si>
  <si>
    <t>https://www.accessengineeringlibrary.com/content/video/V1955179002001</t>
  </si>
  <si>
    <t>Perry's Handbook Example 13-2 Video Solution</t>
  </si>
  <si>
    <t>Hydrocarbons | Methane | Chemical engineering | Pentane | Gas flow rate | Plate columns</t>
  </si>
  <si>
    <t>https://www.accessengineeringlibrary.com/content/video/V1955115579001</t>
  </si>
  <si>
    <t>Perry's Handbook Example 13-3 Video Solution</t>
  </si>
  <si>
    <t>Flow rate | Distillation columns | Chemical engineering | Distillation reboilers | Distillation condensers | McCabe Thiele method</t>
  </si>
  <si>
    <t>https://www.accessengineeringlibrary.com/content/video/V1955676332001</t>
  </si>
  <si>
    <t>Perry's Handbook Example 13-4 Video Solution</t>
  </si>
  <si>
    <t>Flow rate | Chemical engineering | Distillation reboilers | Hydrocarbons | Distillation | Distillation columns</t>
  </si>
  <si>
    <t>https://www.accessengineeringlibrary.com/content/video/V1955202420001</t>
  </si>
  <si>
    <t>Perry's Handbook Example 13-5 Video Solution</t>
  </si>
  <si>
    <t>Chemical engineering | Hydrocarbons | Gas flow rate | Fluid dynamics | Temperature | System of equations</t>
  </si>
  <si>
    <t>https://www.accessengineeringlibrary.com/content/video/V1955179005001</t>
  </si>
  <si>
    <t>Perry's Handbook Example 13-8 Video Solution</t>
  </si>
  <si>
    <t>Chemical engineering | Distillation | Distillation trays | Column efficiency | Distillation columns | Thermodynamic equilibrium</t>
  </si>
  <si>
    <t>https://www.accessengineeringlibrary.com/content/video/V1955115576001</t>
  </si>
  <si>
    <t>Perry's Handbook Example 13-9 Video Solution</t>
  </si>
  <si>
    <t>Packed columns | Plate columns | Chemical engineering | Thermodynamic properties | Methane | Process modeling</t>
  </si>
  <si>
    <t>https://www.accessengineeringlibrary.com/content/video/V1955179003001</t>
  </si>
  <si>
    <t>Perry's Handbook Example 14-2 Video Solution</t>
  </si>
  <si>
    <t>Chemical engineering | Column design | Packed columns | Thermodynamic equilibrium | Mass transfer coefficient | Static equilibrium</t>
  </si>
  <si>
    <t>https://www.accessengineeringlibrary.com/content/video/V1955179001001</t>
  </si>
  <si>
    <t>Perry's Handbook Example 14-3 Video Solution</t>
  </si>
  <si>
    <t>Chemical engineering | Packed columns | Henrys law | Organic chemicals | Air stripping | Mass transfer</t>
  </si>
  <si>
    <t>https://www.accessengineeringlibrary.com/content/video/V1955202416001</t>
  </si>
  <si>
    <t>Perry's Handbook Example 14-4 Video Solution</t>
  </si>
  <si>
    <t>Chemical engineering | Steam stripping | Water viscosity | Gas flow rate | Viscous fluids | Vapor liquid equilibrium</t>
  </si>
  <si>
    <t>https://www.accessengineeringlibrary.com/content/video/V1955179000001</t>
  </si>
  <si>
    <t>Perry's Handbook Example 14-5 Video Solution</t>
  </si>
  <si>
    <t>Chemical engineering | Packed columns | Water supply | Safety factors | Process design | Vapor liquid equilibrium</t>
  </si>
  <si>
    <t>https://www.accessengineeringlibrary.com/content/video/V1966442391001</t>
  </si>
  <si>
    <t>Perry's Handbook Example 15-1 Video Solution</t>
  </si>
  <si>
    <t>Liquid liquid extraction | Acetic acids | Chemical engineering | Mass | Solvents | Mass fraction</t>
  </si>
  <si>
    <t>https://www.accessengineeringlibrary.com/content/video/V1441275932001</t>
  </si>
  <si>
    <t>Perry's Handbook Example 15-2 Video Solution</t>
  </si>
  <si>
    <t>Liquid liquid extraction | Acetic acids | Chemical engineering | Solubility | Mass | Prime numbers</t>
  </si>
  <si>
    <t>https://www.accessengineeringlibrary.com/content/video/V1478288925001</t>
  </si>
  <si>
    <t>Perry's Handbook Example 15-3 Video Solution</t>
  </si>
  <si>
    <t>Chemical engineering | Liquid liquid extraction</t>
  </si>
  <si>
    <t>https://www.accessengineeringlibrary.com/content/video/V1478288927001</t>
  </si>
  <si>
    <t>Perry's Handbook Example 15-4 Video Solution</t>
  </si>
  <si>
    <t>Liquid liquid extraction | Chemical engineering | Wastewater | Flow rate measurement | Flow rate | Aspen</t>
  </si>
  <si>
    <t>https://www.accessengineeringlibrary.com/content/video/V1441287617001</t>
  </si>
  <si>
    <t>Phase and Gain Margin</t>
  </si>
  <si>
    <t>Phase margin | Gain margin | Electronics engineering | Control systems | Magnitude phase plot | Bode plots</t>
  </si>
  <si>
    <t>https://www.accessengineeringlibrary.com/content/video/V1873326722001</t>
  </si>
  <si>
    <t>Phasor Analysis Example 1</t>
  </si>
  <si>
    <t>AC circuit analysis | Electricity | Electrical engineering | Kirchhoff's current law | Voltage | Circuit analysis</t>
  </si>
  <si>
    <t>https://www.accessengineeringlibrary.com/content/video/V1931803546001</t>
  </si>
  <si>
    <t>Phasor Analysis Example 2</t>
  </si>
  <si>
    <t>AC circuit analysis | Voltage | Electricity | Electrical engineering | Kirchhoff's voltage law | Circuit analysis</t>
  </si>
  <si>
    <t>https://www.accessengineeringlibrary.com/content/video/V1931831087001</t>
  </si>
  <si>
    <t>Plastic Collapse Load for a Fixed-Fixed Beam</t>
  </si>
  <si>
    <t>Plastic Collapse Load for a Fixed-Fixed Beam, James Pitarresi, Department Chair, Mechanical Engineering, Binghamton University, State University of New York</t>
  </si>
  <si>
    <t>Structural beams | Design load | Hinges | Yield stress | Geometric properties of areas</t>
  </si>
  <si>
    <t>https://www.accessengineeringlibrary.com/content/video/V1836229548001</t>
  </si>
  <si>
    <t>Poles and Zeros for a Loaded Linear Regulator</t>
  </si>
  <si>
    <t>Load regulation | Loop gain | Linear phase locked loops | Capacitors | Feedback resistors | Transistors</t>
  </si>
  <si>
    <t>https://www.accessengineeringlibrary.com/content/video/V3705146114001</t>
  </si>
  <si>
    <t>Position, MMC</t>
  </si>
  <si>
    <t>Geometric dimensioning and tolerancing | Machine design | Positional tolerances | Datum reference frames | Datum features | Zone control</t>
  </si>
  <si>
    <t>https://www.accessengineeringlibrary.com/content/video/V2433899709001</t>
  </si>
  <si>
    <t>Position, RFS</t>
  </si>
  <si>
    <t>Machine design | Geometric dimensioning and tolerancing | Datum features | Datum reference frames | Zone control</t>
  </si>
  <si>
    <t>https://www.accessengineeringlibrary.com/content/video/V2433952473001</t>
  </si>
  <si>
    <t>Position, RMB and MMB</t>
  </si>
  <si>
    <t>Machine design | Geometric dimensioning and tolerancing | Datum features | Datums</t>
  </si>
  <si>
    <t>https://www.accessengineeringlibrary.com/content/video/V2433975073001</t>
  </si>
  <si>
    <t>Power-Conversion Efficiency</t>
  </si>
  <si>
    <t>Watts | Servos | Microcontrollers | Load regulation | Load loss | Input voltage</t>
  </si>
  <si>
    <t>https://www.accessengineeringlibrary.com/content/video/V3705246411001</t>
  </si>
  <si>
    <t>Presentation Secrets of Steve Jobs:  Unleash their Inner Zen</t>
  </si>
  <si>
    <t>Carmine Gallo, Communications Coach and Author, Presentation Secrets of Steve Jobs</t>
  </si>
  <si>
    <t>https://www.accessengineeringlibrary.com/content/video/V2743287866001</t>
  </si>
  <si>
    <t>Presentation Secrets of Steve Jobs: Answer the One Question that Matters Most</t>
  </si>
  <si>
    <t>https://www.accessengineeringlibrary.com/content/video/V2743287869001</t>
  </si>
  <si>
    <t>Presentation Secrets of Steve Jobs: Create Twitter Like Headlines</t>
  </si>
  <si>
    <t>https://www.accessengineeringlibrary.com/content/video/V2743257561001</t>
  </si>
  <si>
    <t>Presentation Secrets of Steve Jobs: Develop a Messianic Sense of Purpose</t>
  </si>
  <si>
    <t>https://www.accessengineeringlibrary.com/content/video/V2743287868001</t>
  </si>
  <si>
    <t>Presentation Secrets of Steve Jobs: Draw a Roadmap Using the Rule of Three</t>
  </si>
  <si>
    <t>https://www.accessengineeringlibrary.com/content/video/V2743257559001</t>
  </si>
  <si>
    <t>Presentation Secrets of Steve Jobs: Introduce the Antagonist</t>
  </si>
  <si>
    <t>https://www.accessengineeringlibrary.com/content/video/V2743287867001</t>
  </si>
  <si>
    <t>Presentation Secrets of Steve Jobs: Introduction</t>
  </si>
  <si>
    <t>https://www.accessengineeringlibrary.com/content/video/V2743287870001</t>
  </si>
  <si>
    <t>Presentation Secrets of Steve Jobs: Make It Look Effortless</t>
  </si>
  <si>
    <t>https://www.accessengineeringlibrary.com/content/video/V2743257564001</t>
  </si>
  <si>
    <t>Presentation Secrets of Steve Jobs: Master Stage Presence</t>
  </si>
  <si>
    <t>https://www.accessengineeringlibrary.com/content/video/V2743257565001</t>
  </si>
  <si>
    <t>Presentation Secrets of Steve Jobs: One More Thing</t>
  </si>
  <si>
    <t>https://www.accessengineeringlibrary.com/content/video/V2743257563001</t>
  </si>
  <si>
    <t>Presentation Secrets of Steve Jobs: Plan in Analog</t>
  </si>
  <si>
    <t>https://www.accessengineeringlibrary.com/content/video/V2743257562001</t>
  </si>
  <si>
    <t>Presentation Secrets of Steve Jobs: Reveal a Holy Smokes Moment</t>
  </si>
  <si>
    <t>https://www.accessengineeringlibrary.com/content/video/V2743257560001</t>
  </si>
  <si>
    <t>Problem 10-12 Sedimentation Tank Sizing</t>
  </si>
  <si>
    <t>Clarifiers | Wastewater engineering | Wastewater | Engine design | Overflow rate | Sedimentation basins</t>
  </si>
  <si>
    <t>https://www.accessengineeringlibrary.com/content/video/V5529315848001</t>
  </si>
  <si>
    <t>Problem 11-4 Design Characteristics for Monomedia Filter</t>
  </si>
  <si>
    <t>Wastewater engineering | Wastewater | Engine design | Design load | Service flow rate | Process design</t>
  </si>
  <si>
    <t>https://www.accessengineeringlibrary.com/content/video/V5534141214001</t>
  </si>
  <si>
    <t>Problem 11-5 Sand Filtration Sieve Analysis Confirmation</t>
  </si>
  <si>
    <t>Sieve analysis | Wastewater engineering | Wastewater | Engine design | Particle size | Mass</t>
  </si>
  <si>
    <t>https://www.accessengineeringlibrary.com/content/video/V5529322798001</t>
  </si>
  <si>
    <t>Problem 12-5 Membrane Filter Design</t>
  </si>
  <si>
    <t>Wastewater engineering | Wastewater | Engine design | Viscosity | Flow rate | Water viscosity</t>
  </si>
  <si>
    <t>https://www.accessengineeringlibrary.com/content/video/V5529304968001</t>
  </si>
  <si>
    <t>Problem 6-14 Design of a Coagulation Rapid Mix System</t>
  </si>
  <si>
    <t>Coagulation mixing | Wastewater engineering | Wastewater | Engine design | Process design | Water treatment</t>
  </si>
  <si>
    <t>https://www.accessengineeringlibrary.com/content/video/V5529304967001</t>
  </si>
  <si>
    <t>Problem 6-6 Alkalinity Consumption</t>
  </si>
  <si>
    <t>Alkalinity | Wastewater engineering | Wastewater | Engine design | Water quality | Molecular weights</t>
  </si>
  <si>
    <t>https://www.accessengineeringlibrary.com/content/video/V5529318690001</t>
  </si>
  <si>
    <t>Problem 6-8 Design of Chemical Feed Pump for Water Treatment Coagulation</t>
  </si>
  <si>
    <t>Water treatment | Water pumps | Coagulation | Chemical process design | Wastewater engineering | Wastewater</t>
  </si>
  <si>
    <t>https://www.accessengineeringlibrary.com/content/video/V5529327014001</t>
  </si>
  <si>
    <t>Problem 7-11 Development of a Bar Chart for Water Softening</t>
  </si>
  <si>
    <t>Water softening | Wastewater engineering | Wastewater | Engine design | Water hardness | Equivalent weights</t>
  </si>
  <si>
    <t>https://www.accessengineeringlibrary.com/content/video/V5529327013001</t>
  </si>
  <si>
    <t>Problem 7-19 Determination of Lime and Soda Ash Dose for Water Softening</t>
  </si>
  <si>
    <t>Water softening | Lime soda softening | Wastewater engineering | Wastewater | Engine design | Water treatment</t>
  </si>
  <si>
    <t>https://www.accessengineeringlibrary.com/content/video/V5529318692001</t>
  </si>
  <si>
    <t>Problem 8-1 Sizing of Ion Exchange Column</t>
  </si>
  <si>
    <t>Wastewater engineering | Wastewater | Engine design | Ion exchange resins | Water treatment | Water absorption</t>
  </si>
  <si>
    <t>https://www.accessengineeringlibrary.com/content/video/V5529327016001</t>
  </si>
  <si>
    <t>Problem 8-2 Sizing of Ion Exchange Columns for Water Softening</t>
  </si>
  <si>
    <t>Water softening | Wastewater engineering | Wastewater | Engine design | Water hardness | Water treatment</t>
  </si>
  <si>
    <t>https://www.accessengineeringlibrary.com/content/video/V5529322797001</t>
  </si>
  <si>
    <t>Problem 8-8 Design of Ion Exchange Column System for Water Softening</t>
  </si>
  <si>
    <t>Water supply | Water softening | Wastewater engineering | Wastewater | Engine design | Column design</t>
  </si>
  <si>
    <t>https://www.accessengineeringlibrary.com/content/video/V5529322796001</t>
  </si>
  <si>
    <t>Problem 9-10 Determination of Permeate Recovery Rate for Membrane Filtration</t>
  </si>
  <si>
    <t>Membrane filtration | Wastewater engineering | Wastewater | Engine design | Salts | Water softening</t>
  </si>
  <si>
    <t>https://www.accessengineeringlibrary.com/content/video/V5529318689001</t>
  </si>
  <si>
    <t>Problem 9-3 Reverse Osmosis Pressure Differential Calculation</t>
  </si>
  <si>
    <t>Reverse osmosis | Differential pressure | Wastewater engineering | Wastewater | Engine design | Potable water</t>
  </si>
  <si>
    <t>https://www.accessengineeringlibrary.com/content/video/V5529315851001</t>
  </si>
  <si>
    <t>Process Capability in Minitab</t>
  </si>
  <si>
    <t>Process capabilities | Six Sigma | Normal distribution | Control charts | X bar control charts | Range charts</t>
  </si>
  <si>
    <t>https://www.accessengineeringlibrary.com/content/video/V3615833515001</t>
  </si>
  <si>
    <t>Profile</t>
  </si>
  <si>
    <t>Machine design | Geometric dimensioning and tolerancing | Datum features | Datums | Surface profiles | Surface topography</t>
  </si>
  <si>
    <t>https://www.accessengineeringlibrary.com/content/video/V2433899710001</t>
  </si>
  <si>
    <t>Radial Array</t>
  </si>
  <si>
    <t>https://www.accessengineeringlibrary.com/content/video/V4768134741001</t>
  </si>
  <si>
    <t>Rates of Heat Gain from Occupants of Conditioned Spaces</t>
  </si>
  <si>
    <t>Mechanical engineering | Factories | Motors | Horsepower | Pumps | Occupant load</t>
  </si>
  <si>
    <t>https://www.accessengineeringlibrary.com/content/video/V1402381064001</t>
  </si>
  <si>
    <t>Regression Analysis in Minitab</t>
  </si>
  <si>
    <t>Regression analysis | Six Sigma | Confidence intervals | Scatterplots | Analysis of variance</t>
  </si>
  <si>
    <t>https://www.accessengineeringlibrary.com/content/video/V3615833516001</t>
  </si>
  <si>
    <t>Rock Crusher</t>
  </si>
  <si>
    <t>Crushers | Construction equipment | Concrete</t>
  </si>
  <si>
    <t>https://www.accessengineeringlibrary.com/content/video/V5762529489001</t>
  </si>
  <si>
    <t>Rolled Throughput Yield / Normalized Yield Calculations</t>
  </si>
  <si>
    <t>Rolled throughput yield | Normalized yield | Six Sigma | Exponents | Fractions | CTQ</t>
  </si>
  <si>
    <t>https://www.accessengineeringlibrary.com/content/video/V3615833505001</t>
  </si>
  <si>
    <t>Scaling Components on Prototype Filters</t>
  </si>
  <si>
    <t>Prototyping | Electronics engineering | Capacitors | Resistors | Electronic filters | Voltage sources</t>
  </si>
  <si>
    <t>https://www.accessengineeringlibrary.com/content/video/V1873312999001</t>
  </si>
  <si>
    <t>Scaling Cut Off frequency on Prototype Filters</t>
  </si>
  <si>
    <t>Prototyping | Electronics engineering | Cutoff frequency | Circuit design | Capacitors | Capacitance</t>
  </si>
  <si>
    <t>https://www.accessengineeringlibrary.com/content/video/V1873326699001</t>
  </si>
  <si>
    <t>Scatter Diagrams in Minitab</t>
  </si>
  <si>
    <t>Scatterplots | Six Sigma | Process time | Scattering | Statistics | Regression analysis</t>
  </si>
  <si>
    <t>https://www.accessengineeringlibrary.com/content/video/V3615833517001</t>
  </si>
  <si>
    <t>Schaum's Anatomy and Physiology Problem 1.13: What is negative feedback, and how is it used to help maintain homeostasis?</t>
  </si>
  <si>
    <t>J. Peter Copppinger, Ph.D., Associate Professor of Applied Biology and Biomedical Engineering, Rose-Hulman Institute of Technology</t>
  </si>
  <si>
    <t>Homeostasis | Human anatomy and physiology | Blood | Polymers</t>
  </si>
  <si>
    <t>https://www.accessengineeringlibrary.com/content/video/V2928693123001</t>
  </si>
  <si>
    <t>Schaum's Anatomy and Physiology Problem 13.2: Distinguish between the classes of hormones based on the location of the cell membrane receptors on their target cells.</t>
  </si>
  <si>
    <t>Cell membranes | Cell physiology | Human anatomy and physiology | Solubility | Proteins</t>
  </si>
  <si>
    <t>https://www.accessengineeringlibrary.com/content/video/V2928693134001</t>
  </si>
  <si>
    <t>Schaum's Anatomy and Physiology Problem 13.4 Give a model for the negative feedback mechanism that often regulates the production or secretion of many hormones.</t>
  </si>
  <si>
    <t>Human anatomy and physiology | Salts</t>
  </si>
  <si>
    <t>https://www.accessengineeringlibrary.com/content/video/V2928693135001</t>
  </si>
  <si>
    <t>Schaum's Anatomy and Physiology Problem 13.5: Give an example of a positive feedback mechanism.</t>
  </si>
  <si>
    <t>Human anatomy and physiology | Female reproductive system | Cell walls | Cell signaling | Blood pressure</t>
  </si>
  <si>
    <t>https://www.accessengineeringlibrary.com/content/video/V2928693136001</t>
  </si>
  <si>
    <t>Schaum's Anatomy and Physiology Problem 14.10: Can hemoglobin bind other gas molecules besides oxygen?</t>
  </si>
  <si>
    <t>Oxygen | Carbon dioxide | Human anatomy and physiology | Proteins | Gases</t>
  </si>
  <si>
    <t>https://www.accessengineeringlibrary.com/content/video/V2928693137001</t>
  </si>
  <si>
    <t>Schaum's Anatomy and Physiology Problem 17.13: What are the two ways in which immunity may be acquired by the body?</t>
  </si>
  <si>
    <t>Human anatomy and physiology | Cancer | Immune system | Proteins</t>
  </si>
  <si>
    <t>https://www.accessengineeringlibrary.com/content/video/V2928693138001</t>
  </si>
  <si>
    <t>Schaum's Anatomy and Physiology Problem 17.19: Describe the functions of the B and T lymphocytes.</t>
  </si>
  <si>
    <t>Human anatomy and physiology | Memory cells | Cancer | Proteins</t>
  </si>
  <si>
    <t>https://www.accessengineeringlibrary.com/content/video/V2928693139001</t>
  </si>
  <si>
    <t>Schaum's Anatomy and Physiology Problem 19.23: List the digestive enzymes secreted by the intestinal glands and describe their actions.</t>
  </si>
  <si>
    <t>Human anatomy and physiology | Nucleic acids | Polysaccharides | Hydrolysis | Proteins | Fatty acids</t>
  </si>
  <si>
    <t>https://www.accessengineeringlibrary.com/content/video/V2928693140001</t>
  </si>
  <si>
    <t>Schaum's Anatomy and Physiology Problem 2.17: Describe how biochemical compounds are formed and broken down.</t>
  </si>
  <si>
    <t>Human anatomy and physiology | Chemical reactions | Polymers | Hydrolysis | Water supply | Polysaccharides</t>
  </si>
  <si>
    <t>https://www.accessengineeringlibrary.com/content/video/V2928693124001</t>
  </si>
  <si>
    <t>Schaum's Anatomy and Physiology Problem 20.2: What if oxygen is not present during glycolysis?</t>
  </si>
  <si>
    <t>Human anatomy and physiology | Fermentation | Protons | Electrons | Carbon</t>
  </si>
  <si>
    <t>https://www.accessengineeringlibrary.com/content/video/V2928693141001</t>
  </si>
  <si>
    <t>Schaum's Anatomy and Physiology Problem 21.21: How does ADH participate in regulating the final urine concentration?</t>
  </si>
  <si>
    <t>Human anatomy and physiology | Cell signaling</t>
  </si>
  <si>
    <t>https://www.accessengineeringlibrary.com/content/video/V2928693142001</t>
  </si>
  <si>
    <t>Schaum's Anatomy and Physiology Problem 3.12: Describe the events in replication.</t>
  </si>
  <si>
    <t>Human anatomy and physiology | DNA</t>
  </si>
  <si>
    <t>https://www.accessengineeringlibrary.com/content/video/V2928693125001</t>
  </si>
  <si>
    <t>Schaum's Anatomy and Physiology Problem 3.13: Describe the events of transcription.</t>
  </si>
  <si>
    <t>Human anatomy and physiology | DNA | RNA | Polymer processing | Nucleic acids</t>
  </si>
  <si>
    <t>https://www.accessengineeringlibrary.com/content/video/V2928693126001</t>
  </si>
  <si>
    <t>Schaum's Anatomy and Physiology Problem 3.15: Describe the events of translation.</t>
  </si>
  <si>
    <t>Human anatomy and physiology | Proteins | Nucleic acids | RNA</t>
  </si>
  <si>
    <t>https://www.accessengineeringlibrary.com/content/video/V2928693127001</t>
  </si>
  <si>
    <t>Schaum's Anatomy and Physiology Problem 4.1 What are the bases for the classification of tissues?</t>
  </si>
  <si>
    <t>Human anatomy and physiology | Connective tissue | Muscles | Tendons | Ligaments | Intestinal tract</t>
  </si>
  <si>
    <t>https://www.accessengineeringlibrary.com/content/video/V2928693128001</t>
  </si>
  <si>
    <t>Schaum's Anatomy and Physiology Problem 4.23: How does the structure of a neuron reflect its function?</t>
  </si>
  <si>
    <t>Human anatomy and physiology</t>
  </si>
  <si>
    <t>https://www.accessengineeringlibrary.com/content/video/V2928693130001</t>
  </si>
  <si>
    <t>Schaum's Anatomy and Physiology Problem 4.3: Catalog the five kinds of simple epithelia as to structure, function, and location within the body.</t>
  </si>
  <si>
    <t>Human anatomy and physiology | Gases | Walls | Lungs | Female reproductive system | Capillaries</t>
  </si>
  <si>
    <t>https://www.accessengineeringlibrary.com/content/video/V2928693129001</t>
  </si>
  <si>
    <t>Schaum's Anatomy and Physiology Problem 5.4: List some defense mechanisms by which the skin helps to prevent infection.</t>
  </si>
  <si>
    <t>Human anatomy and physiology | Skin | White blood cells | Surface chemistry</t>
  </si>
  <si>
    <t>https://www.accessengineeringlibrary.com/content/video/V2928693131001</t>
  </si>
  <si>
    <t>Schaum's Anatomy and Physiology Problem 6.1: What is the composition of bones?</t>
  </si>
  <si>
    <t>Bone | Human anatomy and physiology | Proteins | Phosphates | Connective tissue | Salts</t>
  </si>
  <si>
    <t>https://www.accessengineeringlibrary.com/content/video/V2928693132001</t>
  </si>
  <si>
    <t>Schaum's Anatomy and Physiology Problem 9.10: What determines whether a stimulus will be strong enough to produce an action potential in a nerve cell?</t>
  </si>
  <si>
    <t>Cell physiology | Human anatomy and physiology | Permeability | Depolarization</t>
  </si>
  <si>
    <t>https://www.accessengineeringlibrary.com/content/video/V2928693133001</t>
  </si>
  <si>
    <t>Schaum's Biology Problem 1.6: Attributes of Life</t>
  </si>
  <si>
    <t>Schaum's Outline of Biology, Fifth Edition|Schaum's Outline of Biology, Fourth Edition</t>
  </si>
  <si>
    <t>Ella Ingram, Ph.D., Assistant Professor of Applied Biology and Biomedical Engineering, Rose-Hulman Institute of Technology</t>
  </si>
  <si>
    <t>Biology | Radiation | Photosynthesis | Homeostasis | Chemistry | Soils</t>
  </si>
  <si>
    <t>https://www.accessengineeringlibrary.com/content/video/V2707151783001</t>
  </si>
  <si>
    <t>Schaum's Biology Problem 10.8: Histone Role in Transcription</t>
  </si>
  <si>
    <t>Biology | DNA | Remodeling | Proteins | Solenoids | Positive charge</t>
  </si>
  <si>
    <t>https://www.accessengineeringlibrary.com/content/video/V2707151792001</t>
  </si>
  <si>
    <t>Schaum's Biology Problem 11.2: Cell Movement in Embryogenesis</t>
  </si>
  <si>
    <t>Biology | Delamination | Cell processes | Proteins | Mass | Centers of mass</t>
  </si>
  <si>
    <t>https://www.accessengineeringlibrary.com/content/video/V2707151793001</t>
  </si>
  <si>
    <t>Schaum's Biology Problem 13.13: Structure of the Stem</t>
  </si>
  <si>
    <t>Biology | Wood</t>
  </si>
  <si>
    <t>https://www.accessengineeringlibrary.com/content/video/V2707151794001</t>
  </si>
  <si>
    <t>Schaum's Biology Problem 15.6: Insulin Hormone Interaction</t>
  </si>
  <si>
    <t>Biology | Proteins | Muscles | Stress | Blood</t>
  </si>
  <si>
    <t>https://www.accessengineeringlibrary.com/content/video/V2707151795001</t>
  </si>
  <si>
    <t>Schaum's Biology Problem 16.3: Cellulose Digestion</t>
  </si>
  <si>
    <t>Cellulose | Biology | Intestinal tract | Stomach | Polysaccharides | Wood</t>
  </si>
  <si>
    <t>https://www.accessengineeringlibrary.com/content/video/V2707151796001</t>
  </si>
  <si>
    <t>Schaum's Biology Problem 17.4: Fish Osmoregulation</t>
  </si>
  <si>
    <t>Biology | Salts | Potable water | Water filtration | Water absorption | Stomach</t>
  </si>
  <si>
    <t>https://www.accessengineeringlibrary.com/content/video/V2707151797001</t>
  </si>
  <si>
    <t>Schaum's Biology Problem 18.7: Vein Function</t>
  </si>
  <si>
    <t>Veins | Biology | Blood flow | Valves flow | Valves | Heart</t>
  </si>
  <si>
    <t>https://www.accessengineeringlibrary.com/content/video/V2707151798001</t>
  </si>
  <si>
    <t>Schaum's Biology Problem 19.6: Antibody Function</t>
  </si>
  <si>
    <t>Biology | Mass | Proteins | Latches | Immune system | Cell signaling</t>
  </si>
  <si>
    <t>https://www.accessengineeringlibrary.com/content/video/V2707151799001</t>
  </si>
  <si>
    <t>Schaum's Biology Problem 2.23: Properties of Water</t>
  </si>
  <si>
    <t>Fluid properties | Biology | Chemical properties | Atomic structure | Covalent bonding | Hydrogen bonding</t>
  </si>
  <si>
    <t>https://www.accessengineeringlibrary.com/content/video/V2707151784001</t>
  </si>
  <si>
    <t>Schaum's Biology Problem 20.13: Oxygen Pressure in Lungs</t>
  </si>
  <si>
    <t>Lungs | Biology | Pressurized systems | Mercury | Atmospheric pressure | Arteries</t>
  </si>
  <si>
    <t>https://www.accessengineeringlibrary.com/content/video/V2707151800001</t>
  </si>
  <si>
    <t>Schaum's Biology Problem 21.8: Thyroid Hormone Malfunction</t>
  </si>
  <si>
    <t>Malfunctions | Biology | Signals and systems | Cell signaling | Cell division</t>
  </si>
  <si>
    <t>https://www.accessengineeringlibrary.com/content/video/V2707151801001</t>
  </si>
  <si>
    <t>Schaum's Biology Problem 23.4: Muscle Innervation</t>
  </si>
  <si>
    <t>Muscles | Biology | Central nervous system | Intestinal tract | Pumping | Musculoskeletal system</t>
  </si>
  <si>
    <t>https://www.accessengineeringlibrary.com/content/video/V2707151802001</t>
  </si>
  <si>
    <t>Schaum's Biology Problem 26.10: Biomagnification</t>
  </si>
  <si>
    <t>Biology | Water supply | Mercury</t>
  </si>
  <si>
    <t>https://www.accessengineeringlibrary.com/content/video/V2707151803001</t>
  </si>
  <si>
    <t>Schaum's Biology Problem 28.3: Endosymbiosis</t>
  </si>
  <si>
    <t>Biology | DNA | Photosynthesis | Binary fission | Genomics | Cell processes</t>
  </si>
  <si>
    <t>https://www.accessengineeringlibrary.com/content/video/V2707151804001</t>
  </si>
  <si>
    <t>Schaum's Biology Problem 29.4: Parasite Reproduction</t>
  </si>
  <si>
    <t>Biology | Reproductive system | Blood cells | Blood | Water supply</t>
  </si>
  <si>
    <t>https://www.accessengineeringlibrary.com/content/video/V2707151805001</t>
  </si>
  <si>
    <t>Schaum's Biology Problem 3.5: Protein Structure</t>
  </si>
  <si>
    <t>Proteins | Biology | Hydrogen bonding | Chemical bonding | Bonding | Covalent bonding</t>
  </si>
  <si>
    <t>https://www.accessengineeringlibrary.com/content/video/V2707151785001</t>
  </si>
  <si>
    <t>Schaum's Biology Problem 31.2: Cuticle Gas Exchange</t>
  </si>
  <si>
    <t>Biology | Photosynthesis | Carbon dioxide | Water vapor | Surface coatings | Fluid density</t>
  </si>
  <si>
    <t>https://www.accessengineeringlibrary.com/content/video/V2707151806001</t>
  </si>
  <si>
    <t>Schaum's Biology Problem 32.14: Amniotic Egg</t>
  </si>
  <si>
    <t>Biology | Water supply | Waste removal | Innovation | Hydrocarbon cracking | Wastewater</t>
  </si>
  <si>
    <t>https://www.accessengineeringlibrary.com/content/video/V2707151807001</t>
  </si>
  <si>
    <t>Schaum's Biology Problem 4.17: Cell Size</t>
  </si>
  <si>
    <t>Biology | Surface area ratio | Cell signaling | Cell membranes | Cell processes | Cell communication</t>
  </si>
  <si>
    <t>https://www.accessengineeringlibrary.com/content/video/V2707151786001</t>
  </si>
  <si>
    <t>Schaum's Biology Problem 5.13: Oxidation Reduction Reactions</t>
  </si>
  <si>
    <t>Reduction reactions | Biology | Redox reactions | Electrons</t>
  </si>
  <si>
    <t>https://www.accessengineeringlibrary.com/content/video/V2707151787001</t>
  </si>
  <si>
    <t>Schaum's Biology Problem 6.5: Cyclic Electron Flow</t>
  </si>
  <si>
    <t>Electrons | Biology | Photosynthesis | Reduction reactions | Process time</t>
  </si>
  <si>
    <t>https://www.accessengineeringlibrary.com/content/video/V2707151788001</t>
  </si>
  <si>
    <t>Schaum's Biology Problem 7.12: Replication Comparison</t>
  </si>
  <si>
    <t>Biology | DNA | Genomics | Meiosis | Cell division</t>
  </si>
  <si>
    <t>https://www.accessengineeringlibrary.com/content/video/V2707151789001</t>
  </si>
  <si>
    <t>Schaum's Biology Problem 8.11: Chromosome Abnormalities</t>
  </si>
  <si>
    <t>Biology | Meiosis | Separation processes</t>
  </si>
  <si>
    <t>https://www.accessengineeringlibrary.com/content/video/V2707151790001</t>
  </si>
  <si>
    <t>Schaum's Biology Problem 9.5: Dominant and Deleterious</t>
  </si>
  <si>
    <t>Biology | Meiosis | Genetics</t>
  </si>
  <si>
    <t>https://www.accessengineeringlibrary.com/content/video/V2707151791001</t>
  </si>
  <si>
    <t>Schaum's Calculus Supplementary Problem 10.39 Video Solution</t>
  </si>
  <si>
    <t>David Rader, Professor of Mathematics, Rose-Hulman Institute of Technology</t>
  </si>
  <si>
    <t>Calculus | Chain rules | Exponents | Derivatives</t>
  </si>
  <si>
    <t>https://www.accessengineeringlibrary.com/content/video/V1402345879001</t>
  </si>
  <si>
    <t>Schaum's Calculus Supplementary Problem 10.53 Video Solution</t>
  </si>
  <si>
    <t>Calculus | Chain rules</t>
  </si>
  <si>
    <t>https://www.accessengineeringlibrary.com/content/video/V1402348998001</t>
  </si>
  <si>
    <t>Schaum's Calculus Supplementary Problem 11.4 Video Solution</t>
  </si>
  <si>
    <t>Calculus | Derivatives</t>
  </si>
  <si>
    <t>https://www.accessengineeringlibrary.com/content/video/V1402345878001</t>
  </si>
  <si>
    <t>Schaum's Calculus Supplementary Problem 16.19 Video Solution</t>
  </si>
  <si>
    <t>Calculus | Cosine | Sine | Trigonometric functions</t>
  </si>
  <si>
    <t>https://www.accessengineeringlibrary.com/content/video/V1402345876001</t>
  </si>
  <si>
    <t>Schaum's Calculus Supplementary Problem 17.28 Video Solution</t>
  </si>
  <si>
    <t>Calculus | Derivatives | Trigonometric functions | Sine | Cosine | Differential equations</t>
  </si>
  <si>
    <t>https://www.accessengineeringlibrary.com/content/video/V1402345874001</t>
  </si>
  <si>
    <t>Schaum's Calculus Supplementary Problem 18.21 Video Solution</t>
  </si>
  <si>
    <t>Calculus | Chain rules | Trigonometric functions | Derivatives | Cosine</t>
  </si>
  <si>
    <t>https://www.accessengineeringlibrary.com/content/video/V1402348996001</t>
  </si>
  <si>
    <t>Schaum's Calculus Supplementary Problem 19.15 Video Solution</t>
  </si>
  <si>
    <t>Calculus | Angular velocity | Angular acceleration | Acceleration</t>
  </si>
  <si>
    <t>https://www.accessengineeringlibrary.com/content/video/V1402329340001</t>
  </si>
  <si>
    <t>Schaum's Calculus Supplementary Problem 19.16 Video Solution</t>
  </si>
  <si>
    <t>Calculus | Gravity | Rectilinear motion | Velocity | Acceleration</t>
  </si>
  <si>
    <t>https://www.accessengineeringlibrary.com/content/video/V1402345873001</t>
  </si>
  <si>
    <t>Schaum's Calculus Supplementary Problem 20.16 Video Solution</t>
  </si>
  <si>
    <t>Calculus | Right triangles</t>
  </si>
  <si>
    <t>https://www.accessengineeringlibrary.com/content/video/V1402348995001</t>
  </si>
  <si>
    <t>Schaum's Calculus Supplementary Problem 22.56 Video Solution</t>
  </si>
  <si>
    <t>Calculus | Derivatives | Indefinite integrals | Polynomials</t>
  </si>
  <si>
    <t>https://www.accessengineeringlibrary.com/content/video/V1402329339001</t>
  </si>
  <si>
    <t>Schaum's Calculus Supplementary Problem 24.22 Video Solution</t>
  </si>
  <si>
    <t>Calculus | Definite integrals | Fundamental theorem of calculus | Cosine | Sine | Integrals</t>
  </si>
  <si>
    <t>https://www.accessengineeringlibrary.com/content/video/V1402345872001</t>
  </si>
  <si>
    <t>Schaum's Calculus Supplementary Problem 25.14 Video Solution</t>
  </si>
  <si>
    <t>Calculus | Derivatives | Logarithms | Definite integrals</t>
  </si>
  <si>
    <t>https://www.accessengineeringlibrary.com/content/video/V1402348994001</t>
  </si>
  <si>
    <t>Schaum's Calculus Supplementary Problem 26.13 Video Solution</t>
  </si>
  <si>
    <t>Calculus | Definite integrals | Fundamental theorem of calculus</t>
  </si>
  <si>
    <t>https://www.accessengineeringlibrary.com/content/video/V1402329338001</t>
  </si>
  <si>
    <t>Schaum's Calculus Supplementary Problem 28.12 Video Solution</t>
  </si>
  <si>
    <t>https://www.accessengineeringlibrary.com/content/video/V1402345871001</t>
  </si>
  <si>
    <t>Schaum's Calculus Supplementary Problem 29.11 Video Solution</t>
  </si>
  <si>
    <t>Calculus | Parabolas</t>
  </si>
  <si>
    <t>https://www.accessengineeringlibrary.com/content/video/V1402348993001</t>
  </si>
  <si>
    <t>Schaum's Calculus Supplementary Problem 3.21 Video Solution</t>
  </si>
  <si>
    <t>https://www.accessengineeringlibrary.com/content/video/V1402349002001</t>
  </si>
  <si>
    <t>Schaum's Calculus Supplementary Problem 30.28 Video Solution</t>
  </si>
  <si>
    <t>Calculus | Definite integrals | Volume</t>
  </si>
  <si>
    <t>https://www.accessengineeringlibrary.com/content/video/V1402329337001</t>
  </si>
  <si>
    <t>Schaum's Calculus Supplementary Problem 31.19 Video Solution</t>
  </si>
  <si>
    <t>Calculus | Indefinite integrals | Cosine | Sine | Polynomials</t>
  </si>
  <si>
    <t>https://www.accessengineeringlibrary.com/content/video/V1402345870001</t>
  </si>
  <si>
    <t>Schaum's Calculus Supplementary Problem 38.23 Video Solution</t>
  </si>
  <si>
    <t>Calculus | Derivatives | Sine | Cosine | Chain rules</t>
  </si>
  <si>
    <t>https://www.accessengineeringlibrary.com/content/video/V1402329336001</t>
  </si>
  <si>
    <t>Schaum's Calculus Supplementary Problem 39.30 Video Solution</t>
  </si>
  <si>
    <t>Calculus | Vectors | Scalars | Dot product | Unit vectors</t>
  </si>
  <si>
    <t>https://www.accessengineeringlibrary.com/content/video/V1402329335001</t>
  </si>
  <si>
    <t>Schaum's Calculus Supplementary Problem 41.28 Video Solution</t>
  </si>
  <si>
    <t>Calculus | Tangent | Derivatives | Sine | Cosine | Chain rules</t>
  </si>
  <si>
    <t>https://www.accessengineeringlibrary.com/content/video/V1402345869001</t>
  </si>
  <si>
    <t>Schaum's Calculus Supplementary Problem 43.16 Video Solution</t>
  </si>
  <si>
    <t>Calculus | Infinite series | Geometric series | Decomposition | Rational functions | Sequences and series</t>
  </si>
  <si>
    <t>https://www.accessengineeringlibrary.com/content/video/V1402329334001</t>
  </si>
  <si>
    <t>Schaum's Calculus Supplementary Problem 46.27 Video Solution</t>
  </si>
  <si>
    <t>Calculus | Power series | Power conversion | Sequences and series | Infinite series</t>
  </si>
  <si>
    <t>https://www.accessengineeringlibrary.com/content/video/V1402348992001</t>
  </si>
  <si>
    <t>Schaum's Calculus Supplementary Problem 48.27 Video Solution</t>
  </si>
  <si>
    <t>Calculus | Derivatives | Partial derivatives | Chain rules | Sine | Cosine</t>
  </si>
  <si>
    <t>https://www.accessengineeringlibrary.com/content/video/V1402345867001</t>
  </si>
  <si>
    <t>Schaum's Calculus Supplementary Problem 50.27 Video Solution</t>
  </si>
  <si>
    <t>Calculus | Triangles | Cross product | Vectors | Unit vectors | Vector spaces</t>
  </si>
  <si>
    <t>https://www.accessengineeringlibrary.com/content/video/V1402348991001</t>
  </si>
  <si>
    <t>Schaum's Calculus Supplementary Problem 54.11 Video Solution</t>
  </si>
  <si>
    <t>Calculus | Sine | Cosine</t>
  </si>
  <si>
    <t>https://www.accessengineeringlibrary.com/content/video/V1402345866001</t>
  </si>
  <si>
    <t>Schaum's Calculus Supplementary Problem 56.18 Video Solution</t>
  </si>
  <si>
    <t>Calculus | Integrals | Volume | Sine | Cosine</t>
  </si>
  <si>
    <t>https://www.accessengineeringlibrary.com/content/video/V1402348990001</t>
  </si>
  <si>
    <t>Schaum's Calculus Supplementary Problem 57.16 Video Solution</t>
  </si>
  <si>
    <t>Calculus | Cosine | Sine | Integrals</t>
  </si>
  <si>
    <t>https://www.accessengineeringlibrary.com/content/video/V1402345881001</t>
  </si>
  <si>
    <t>Schaum's Calculus Supplementary Problem 6.17 Video Solution</t>
  </si>
  <si>
    <t>Calculus | Fractions</t>
  </si>
  <si>
    <t>https://www.accessengineeringlibrary.com/content/video/V1402349001001</t>
  </si>
  <si>
    <t>Schaum's Calculus Supplementary Problem 7.18 Video Solution</t>
  </si>
  <si>
    <t>Calculus | Polynomials | Factoring | Rational functions | Algebra</t>
  </si>
  <si>
    <t>https://www.accessengineeringlibrary.com/content/video/V1402329341001</t>
  </si>
  <si>
    <t>Schaum's College Algebra Supplementary Problem 10.13</t>
  </si>
  <si>
    <t>Schaum's Outline of College Algebra, Fifth Edition|Schaum's Outline of College Algebra, 4th Edition</t>
  </si>
  <si>
    <t>https://www.accessengineeringlibrary.com/content/video/V3637603939001</t>
  </si>
  <si>
    <t>Schaum's College Algebra Supplementary Problem 11.30</t>
  </si>
  <si>
    <t>https://www.accessengineeringlibrary.com/content/video/V3637603940001</t>
  </si>
  <si>
    <t>Schaum's College Algebra Supplementary Problem 12.39</t>
  </si>
  <si>
    <t>Algebra | Fractions</t>
  </si>
  <si>
    <t>https://www.accessengineeringlibrary.com/content/video/V3637603941001</t>
  </si>
  <si>
    <t>Schaum's College Algebra Supplementary Problem 13.40</t>
  </si>
  <si>
    <t>Algebra | Linear equations</t>
  </si>
  <si>
    <t>https://www.accessengineeringlibrary.com/content/video/V3637603942001</t>
  </si>
  <si>
    <t>Schaum's College Algebra Supplementary Problem 14.19</t>
  </si>
  <si>
    <t>Algebra | Equation of a line</t>
  </si>
  <si>
    <t>https://www.accessengineeringlibrary.com/content/video/V3637603943001</t>
  </si>
  <si>
    <t>Schaum's College Algebra Supplementary Problem 15.30</t>
  </si>
  <si>
    <t>Algebra | Linear systems | System of equations | Linear equations</t>
  </si>
  <si>
    <t>https://www.accessengineeringlibrary.com/content/video/V3637603944001</t>
  </si>
  <si>
    <t>Schaum's College Algebra Supplementary Problem 16.41</t>
  </si>
  <si>
    <t>Algebra | Quadratic equations | Factoring | Exponents</t>
  </si>
  <si>
    <t>https://www.accessengineeringlibrary.com/content/video/V3637603945001</t>
  </si>
  <si>
    <t>Schaum's College Algebra Supplementary Problem 17.18</t>
  </si>
  <si>
    <t>Algebra | Ellipses | Polynomials</t>
  </si>
  <si>
    <t>https://www.accessengineeringlibrary.com/content/video/V3637603946001</t>
  </si>
  <si>
    <t>Schaum's College Algebra Supplementary Problem 18.18</t>
  </si>
  <si>
    <t>Algebra | Nonlinear systems | System of equations | Polynomials | Factoring | Nonlinear equations</t>
  </si>
  <si>
    <t>https://www.accessengineeringlibrary.com/content/video/V3637603947001</t>
  </si>
  <si>
    <t>Schaum's College Algebra Supplementary Problem 19.30</t>
  </si>
  <si>
    <t>https://www.accessengineeringlibrary.com/content/video/V3637603948001</t>
  </si>
  <si>
    <t>Schaum's College Algebra Supplementary Problem 2.17</t>
  </si>
  <si>
    <t>Algebra | Polynomials</t>
  </si>
  <si>
    <t>https://www.accessengineeringlibrary.com/content/video/V3637603932001</t>
  </si>
  <si>
    <t>Schaum's College Algebra Supplementary Problem 20.60</t>
  </si>
  <si>
    <t>Algebra | Nonlinear equations</t>
  </si>
  <si>
    <t>https://www.accessengineeringlibrary.com/content/video/V3637603949001</t>
  </si>
  <si>
    <t>Schaum's College Algebra Supplementary Problem 21.6</t>
  </si>
  <si>
    <t>Algebra | Rational functions | Polynomials</t>
  </si>
  <si>
    <t>https://www.accessengineeringlibrary.com/content/video/V3637603950001</t>
  </si>
  <si>
    <t>Schaum's College Algebra Supplementary Problem 22.79</t>
  </si>
  <si>
    <t>Algebra | Geometric series | Quadratic equations | Sequences and series</t>
  </si>
  <si>
    <t>https://www.accessengineeringlibrary.com/content/video/V3637603951001</t>
  </si>
  <si>
    <t>Schaum's College Algebra Supplementary Problem 23.26</t>
  </si>
  <si>
    <t>https://www.accessengineeringlibrary.com/content/video/V3637603952001</t>
  </si>
  <si>
    <t>Schaum's College Algebra Supplementary Problem 23.39</t>
  </si>
  <si>
    <t>Algebra | Logarithms | Exponents</t>
  </si>
  <si>
    <t>https://www.accessengineeringlibrary.com/content/video/V3637603953001</t>
  </si>
  <si>
    <t>Schaum's College Algebra Supplementary Problem 24.42</t>
  </si>
  <si>
    <t>Algebra | Nuclear reactors</t>
  </si>
  <si>
    <t>https://www.accessengineeringlibrary.com/content/video/V3637603954001</t>
  </si>
  <si>
    <t>Schaum's College Algebra Supplementary Problem 25.91</t>
  </si>
  <si>
    <t>Algebra | Chemistry | Permutations and combinations</t>
  </si>
  <si>
    <t>https://www.accessengineeringlibrary.com/content/video/V3637603955001</t>
  </si>
  <si>
    <t>Schaum's College Algebra Supplementary Problem 26.25</t>
  </si>
  <si>
    <t>Algebra | Binomial theorem | Polynomials</t>
  </si>
  <si>
    <t>https://www.accessengineeringlibrary.com/content/video/V3637603956001</t>
  </si>
  <si>
    <t>Schaum's College Algebra Supplementary Problem 27.47</t>
  </si>
  <si>
    <t>Algebra | Probability | Mean | Binomials</t>
  </si>
  <si>
    <t>https://www.accessengineeringlibrary.com/content/video/V3637603957001</t>
  </si>
  <si>
    <t>Schaum's College Algebra Supplementary Problem 28.38</t>
  </si>
  <si>
    <t>Algebra | System of equations | Linear systems | Linear equations</t>
  </si>
  <si>
    <t>https://www.accessengineeringlibrary.com/content/video/V3637603958001</t>
  </si>
  <si>
    <t>Schaum's College Algebra Supplementary Problem 29.12</t>
  </si>
  <si>
    <t>https://www.accessengineeringlibrary.com/content/video/V3637603959001</t>
  </si>
  <si>
    <t>Schaum's College Algebra Supplementary Problem 30.13</t>
  </si>
  <si>
    <t>https://www.accessengineeringlibrary.com/content/video/V3637603960001</t>
  </si>
  <si>
    <t>Schaum's College Algebra Supplementary Problem 31.13</t>
  </si>
  <si>
    <t>Algebra | Decomposition | Rational functions | System of equations | Partial fractions</t>
  </si>
  <si>
    <t>https://www.accessengineeringlibrary.com/content/video/V3637603961001</t>
  </si>
  <si>
    <t>Schaum's College Algebra Supplementary Problem 4.7</t>
  </si>
  <si>
    <t>Algebra | Process time | Exponents | Polynomials</t>
  </si>
  <si>
    <t>https://www.accessengineeringlibrary.com/content/video/V3637603933001</t>
  </si>
  <si>
    <t>Schaum's College Algebra Supplementary Problem 5.14</t>
  </si>
  <si>
    <t>Algebra | Polynomials | Factoring</t>
  </si>
  <si>
    <t>https://www.accessengineeringlibrary.com/content/video/V3637603934001</t>
  </si>
  <si>
    <t>Schaum's College Algebra Supplementary Problem 6.11</t>
  </si>
  <si>
    <t>https://www.accessengineeringlibrary.com/content/video/V3637603935001</t>
  </si>
  <si>
    <t>Schaum's College Algebra Supplementary Problem 7.20</t>
  </si>
  <si>
    <t>https://www.accessengineeringlibrary.com/content/video/V3637603936001</t>
  </si>
  <si>
    <t>Schaum's College Algebra Supplementary Problem 8.13</t>
  </si>
  <si>
    <t>https://www.accessengineeringlibrary.com/content/video/V3637603937001</t>
  </si>
  <si>
    <t>Schaum's College Algebra Supplementary Problem 9.9</t>
  </si>
  <si>
    <t>Algebra | Complex numbers</t>
  </si>
  <si>
    <t>https://www.accessengineeringlibrary.com/content/video/V3637603938001</t>
  </si>
  <si>
    <t>Schaum's Differential Equations Supplementary Problem 11.48</t>
  </si>
  <si>
    <t>Differential equations | Linear differential equations | Initial value problems | Derivatives | Characteristic equation | Algebra</t>
  </si>
  <si>
    <t>https://www.accessengineeringlibrary.com/content/video/V3615733088001</t>
  </si>
  <si>
    <t>Schaum's Differential Equations Supplementary Problem 12.19</t>
  </si>
  <si>
    <t>Differential equations | Linear differential equations | Derivatives | Particular solution</t>
  </si>
  <si>
    <t>https://www.accessengineeringlibrary.com/content/video/V3615733089001</t>
  </si>
  <si>
    <t>Schaum's Differential Equations Supplementary Problem 14.48</t>
  </si>
  <si>
    <t>Differential equations | Linear differential equations | Cosine | Sine | Mass | Particular solution</t>
  </si>
  <si>
    <t>https://www.accessengineeringlibrary.com/content/video/V3615733090001</t>
  </si>
  <si>
    <t>Schaum's Differential Equations Supplementary Problem 14.54</t>
  </si>
  <si>
    <t>Differential equations | Circuits | Linear differential equations | Linear circuits | Capacitors | Voltage</t>
  </si>
  <si>
    <t>https://www.accessengineeringlibrary.com/content/video/V3615733091001</t>
  </si>
  <si>
    <t>Schaum's Differential Equations Supplementary Problem 24.29</t>
  </si>
  <si>
    <t>Differential equations | Laplace transform | Linear differential equations | Inverse Laplace transforms | Sine | Initial value problems</t>
  </si>
  <si>
    <t>https://www.accessengineeringlibrary.com/content/video/V3615733092001</t>
  </si>
  <si>
    <t>Schaum's Differential Equations Supplementary Problem 25.12</t>
  </si>
  <si>
    <t>Differential equations | Laplace transform | Linear differential equations | Inverse Laplace transforms | System of equations | Decomposition</t>
  </si>
  <si>
    <t>https://www.accessengineeringlibrary.com/content/video/V3615733093001</t>
  </si>
  <si>
    <t>Schaum's Differential Equations Supplementary Problem 26.20</t>
  </si>
  <si>
    <t>Differential equations | Matrices | Coefficient matrices | Linear differential equations | Eigenvalues | Linear systems</t>
  </si>
  <si>
    <t>https://www.accessengineeringlibrary.com/content/video/V3615733094001</t>
  </si>
  <si>
    <t>Schaum's Differential Equations Supplementary Problem 27.36</t>
  </si>
  <si>
    <t>Differential equations | Power series | Linear differential equations</t>
  </si>
  <si>
    <t>https://www.accessengineeringlibrary.com/content/video/V3615733095001</t>
  </si>
  <si>
    <t>Schaum's Differential Equations Supplementary Problem 32.25</t>
  </si>
  <si>
    <t>Differential equations | Sine | Cosine | Boundary value equations | Particular solution</t>
  </si>
  <si>
    <t>https://www.accessengineeringlibrary.com/content/video/V3615733096001</t>
  </si>
  <si>
    <t>Schaum's Differential Equations Supplementary Problem 4.26</t>
  </si>
  <si>
    <t>Differential equations | Derivatives | Integrals | Factoring</t>
  </si>
  <si>
    <t>https://www.accessengineeringlibrary.com/content/video/V3615733077001</t>
  </si>
  <si>
    <t>Schaum's Differential Equations Supplementary Problem 4.47</t>
  </si>
  <si>
    <t>Differential equations | Derivatives</t>
  </si>
  <si>
    <t>https://www.accessengineeringlibrary.com/content/video/V3615733078001</t>
  </si>
  <si>
    <t>Schaum's Differential Equations Supplementary Problem 5.26</t>
  </si>
  <si>
    <t>Differential equations | Derivatives | Algebra</t>
  </si>
  <si>
    <t>https://www.accessengineeringlibrary.com/content/video/V3615733079001</t>
  </si>
  <si>
    <t>Schaum's Differential Equations Supplementary Problem 5.44</t>
  </si>
  <si>
    <t>Differential equations | Integrals</t>
  </si>
  <si>
    <t>https://www.accessengineeringlibrary.com/content/video/V3615733080001</t>
  </si>
  <si>
    <t>Schaum's Differential Equations Supplementary Problem 6.53</t>
  </si>
  <si>
    <t>Differential equations | Derivatives | Linear differential equations | Initial value problems | Exponents</t>
  </si>
  <si>
    <t>https://www.accessengineeringlibrary.com/content/video/V3615733081001</t>
  </si>
  <si>
    <t>Schaum's Differential Equations Supplementary Problem 7.34</t>
  </si>
  <si>
    <t>Differential equations</t>
  </si>
  <si>
    <t>https://www.accessengineeringlibrary.com/content/video/V3615733082001</t>
  </si>
  <si>
    <t>Schaum's Differential Equations Supplementary Problem 7.64</t>
  </si>
  <si>
    <t>Differential equations | Linear differential equations | Mass | Initial value problems | Derivatives | Acceleration</t>
  </si>
  <si>
    <t>https://www.accessengineeringlibrary.com/content/video/V3615733083001</t>
  </si>
  <si>
    <t>Schaum's Differential Equations Supplementary Problem 7.68</t>
  </si>
  <si>
    <t>Differential equations | Salts | Linear differential equations | Water tanks | Initial value problems | First order systems</t>
  </si>
  <si>
    <t>https://www.accessengineeringlibrary.com/content/video/V3615733084001</t>
  </si>
  <si>
    <t>Schaum's Differential Equations Supplementary Problem 9.18</t>
  </si>
  <si>
    <t>Differential equations | Linear differential equations | Characteristic equation | Particular solution | Factoring | Derivatives</t>
  </si>
  <si>
    <t>https://www.accessengineeringlibrary.com/content/video/V3615733085001</t>
  </si>
  <si>
    <t>Schaum's Differential Equations Supplementary Problem 9.23</t>
  </si>
  <si>
    <t>Differential equations | Characteristic equation | Linear differential equations | Particular solution | Linear equations | Derivatives</t>
  </si>
  <si>
    <t>https://www.accessengineeringlibrary.com/content/video/V3615733086001</t>
  </si>
  <si>
    <t>Schaum's Differential Equations Supplementary Problem 9.33</t>
  </si>
  <si>
    <t>Differential equations | Linear differential equations | Characteristic equation | Derivatives | Sine | Cosine</t>
  </si>
  <si>
    <t>https://www.accessengineeringlibrary.com/content/video/V3615733087001</t>
  </si>
  <si>
    <t>Schaum's Dynamics Supplementary Problem 1.24: Vector Component</t>
  </si>
  <si>
    <t>Jeff Hanson, Instructor, Texas Tech University</t>
  </si>
  <si>
    <t>Dynamics of solids | Cosine | Triangles | Right triangles | Vectors</t>
  </si>
  <si>
    <t>https://www.accessengineeringlibrary.com/content/video/V6231318658001</t>
  </si>
  <si>
    <t>Schaum's Dynamics Supplementary Problem 1.41: Cross Products</t>
  </si>
  <si>
    <t>Dynamics of solids | Cross product | Unit vectors</t>
  </si>
  <si>
    <t>https://www.accessengineeringlibrary.com/content/video/V6231312663001</t>
  </si>
  <si>
    <t>Schaum's Dynamics Supplementary Problem 2.49: Speed Calculation</t>
  </si>
  <si>
    <t>Dynamics of solids | Velocity | Acceleration | Speed | Rectilinear motion | Equations of motion</t>
  </si>
  <si>
    <t>https://www.accessengineeringlibrary.com/content/video/V6231314423001</t>
  </si>
  <si>
    <t>Schaum's Dynamics Supplementary Problem 2.70: Normal Acceleration</t>
  </si>
  <si>
    <t>Acceleration | Dynamics of solids | Curvilinear motion | Velocity | Speed | Equations of motion</t>
  </si>
  <si>
    <t>https://www.accessengineeringlibrary.com/content/video/V6231318755001</t>
  </si>
  <si>
    <t>Schaum's Dynamics Supplementary Problem 2.87: Angular Velocity and Acceleration</t>
  </si>
  <si>
    <t>Angular velocity | Dynamics of solids | Gears | Angular acceleration | Gear train | Acceleration</t>
  </si>
  <si>
    <t>https://www.accessengineeringlibrary.com/content/video/V6231348676001</t>
  </si>
  <si>
    <t>Schaum's Dynamics Supplementary Problem 3.31: Newton's 2nd Law</t>
  </si>
  <si>
    <t>Dynamics of solids | Acceleration | Deceleration | Mass | Clutches | Newtons laws of motion</t>
  </si>
  <si>
    <t>https://www.accessengineeringlibrary.com/content/video/V6231314321001</t>
  </si>
  <si>
    <t>Schaum's Dynamics Supplementary Problem 3.40: Friction</t>
  </si>
  <si>
    <t>Dynamics of solids | Tension | Kinetics | Mass | Friction | Force</t>
  </si>
  <si>
    <t>https://www.accessengineeringlibrary.com/content/video/V6231314425001</t>
  </si>
  <si>
    <t>Schaum's Dynamics Supplementary Problem 3.45: Sliding Friction</t>
  </si>
  <si>
    <t>Dynamics of solids | Friction | Mass | Acceleration | Sine | Cosine</t>
  </si>
  <si>
    <t>https://www.accessengineeringlibrary.com/content/video/V6231351905001</t>
  </si>
  <si>
    <t>Schaum's Dynamics Supplementary Problem 4.30: Angular Acceleration</t>
  </si>
  <si>
    <t>Dynamics of solids | Acceleration | Angular velocity | Angular acceleration | Unit vectors | Tension</t>
  </si>
  <si>
    <t>https://www.accessengineeringlibrary.com/content/video/V6231347497001</t>
  </si>
  <si>
    <t>Schaum's Dynamics Supplementary Problem 4.44: Velocity and Acceleration Polygons</t>
  </si>
  <si>
    <t>Acceleration | Velocity | Polygons | Dynamics of solids | Chain rules | Kinematics</t>
  </si>
  <si>
    <t>https://www.accessengineeringlibrary.com/content/video/V6231317513001</t>
  </si>
  <si>
    <t>Schaum's Dynamics Supplementary Problem 4.50: Four-Bar Linkage</t>
  </si>
  <si>
    <t>Dynamics of solids | Angular velocity | Velocity | Kinematics | Cross product</t>
  </si>
  <si>
    <t>https://www.accessengineeringlibrary.com/content/video/V6231318756001</t>
  </si>
  <si>
    <t>Schaum's Dynamics Supplementary Problem 4.79: A Sliding Mechanism</t>
  </si>
  <si>
    <t>Dynamics of solids | Relative velocity | Acceleration | Unit vectors | Cross product | Angular acceleration</t>
  </si>
  <si>
    <t>https://www.accessengineeringlibrary.com/content/video/V6231316577001</t>
  </si>
  <si>
    <t>Schaum's Dynamics Supplementary Problem 5.61: A Rolling Cylinder</t>
  </si>
  <si>
    <t>Dynamics of solids | Sine | Mass | Friction | Angular acceleration | Acceleration</t>
  </si>
  <si>
    <t>https://www.accessengineeringlibrary.com/content/video/V6231345093001</t>
  </si>
  <si>
    <t>Schaum's Dynamics Supplementary Problem 5.64: An Accelerating Cylinder</t>
  </si>
  <si>
    <t>Acceleration | Dynamics of solids | Friction | Mass | Kinetics | Centers of mass</t>
  </si>
  <si>
    <t>https://www.accessengineeringlibrary.com/content/video/V6231318659001</t>
  </si>
  <si>
    <t>Schaum's Dynamics Supplementary Problem 5.70: Pulley Analysis</t>
  </si>
  <si>
    <t>Dynamics of solids | Tension | Datums | Acceleration | Mass | Relative motion</t>
  </si>
  <si>
    <t>https://www.accessengineeringlibrary.com/content/video/V6231314320001</t>
  </si>
  <si>
    <t>Schaum's Dynamics Supplementary Problem 5.89: Forces on a Hanging Door</t>
  </si>
  <si>
    <t>Dynamics of solids | Kinetics | Acceleration | Centers of mass | Angular acceleration | Mass</t>
  </si>
  <si>
    <t>https://www.accessengineeringlibrary.com/content/video/V6231360545001</t>
  </si>
  <si>
    <t>Schaum's Dynamics Supplementary Problem 6.34: Work to Pump Water</t>
  </si>
  <si>
    <t>Water pumps | Pumps | Dynamics of solids | Fluid density | Derivatives | Volume</t>
  </si>
  <si>
    <t>https://www.accessengineeringlibrary.com/content/video/V6231318754001</t>
  </si>
  <si>
    <t>Schaum's Dynamics Supplementary Problem 6.39: Work and Friction</t>
  </si>
  <si>
    <t>Dynamics of solids | Friction | Potential energy | Force | Sine | Kinetic friction</t>
  </si>
  <si>
    <t>https://www.accessengineeringlibrary.com/content/video/V6231316574001</t>
  </si>
  <si>
    <t>Schaum's Dynamics Supplementary Problem 6.63: Work and Velocity</t>
  </si>
  <si>
    <t>Dynamics of solids | Velocity | Potential energy | Friction | Kinetic energy | Kinetics</t>
  </si>
  <si>
    <t>https://www.accessengineeringlibrary.com/content/video/V6231360260001</t>
  </si>
  <si>
    <t>Schaum's Dynamics Supplementary Problem 6.84: Work, Friction, and Velocity</t>
  </si>
  <si>
    <t>Kinetic friction | Dynamics of solids | Velocity | Potential energy | Friction | Conservation of energy</t>
  </si>
  <si>
    <t>https://www.accessengineeringlibrary.com/content/video/V6231315684001</t>
  </si>
  <si>
    <t>Schaum's Dynamics Supplementary Problem 7.60: Angular Impulse</t>
  </si>
  <si>
    <t>Dynamics of solids | Torque | Angular acceleration | Tangent | Spin | Centers of mass</t>
  </si>
  <si>
    <t>https://www.accessengineeringlibrary.com/content/video/V6231315872001</t>
  </si>
  <si>
    <t>Schaum's Dynamics Supplementary Problem 7.68: A Rotating Drum</t>
  </si>
  <si>
    <t>Dynamics of solids | Angular velocity | Moment of inertia | Integrals | Angular acceleration | Mass moment of inertia</t>
  </si>
  <si>
    <t>https://www.accessengineeringlibrary.com/content/video/V6231318657001</t>
  </si>
  <si>
    <t>Schaum's Dynamics Supplementary Problem 7.90: Coefficient of restitution</t>
  </si>
  <si>
    <t>Velocity | Dynamics of solids | Mass | Linear momentum | Speed | Linear equations</t>
  </si>
  <si>
    <t>https://www.accessengineeringlibrary.com/content/video/V6231314422001</t>
  </si>
  <si>
    <t>Schaum's Dynamics Supplementary Problem 8.23: Harmonic Motion</t>
  </si>
  <si>
    <t>Harmonics | Acceleration | Dynamics of solids | Amplitude | Sine | Harmonic vibration</t>
  </si>
  <si>
    <t>https://www.accessengineeringlibrary.com/content/video/V6231315685001</t>
  </si>
  <si>
    <t>Schaum's Dynamics Supplementary Problem 8.40: Critical Damping</t>
  </si>
  <si>
    <t>Critical damping | Dynamics of solids | Damping | Mass | Natural frequency | Damping ratio</t>
  </si>
  <si>
    <t>https://www.accessengineeringlibrary.com/content/video/V6231312664001</t>
  </si>
  <si>
    <t>Schaum's Electric Circuits Problem 1.14: Energy Example</t>
  </si>
  <si>
    <t>Electric energy | Circuits | Electricity | Voltage | Watts | Voltage transfer</t>
  </si>
  <si>
    <t>https://www.accessengineeringlibrary.com/content/video/V2929037647001</t>
  </si>
  <si>
    <t>Schaum's Electric Circuits Problem 1.9: Work and Power Example</t>
  </si>
  <si>
    <t>Electric power | Circuits | Electricity | Mass | Watts | Sine</t>
  </si>
  <si>
    <t>https://www.accessengineeringlibrary.com/content/video/V2929037646001</t>
  </si>
  <si>
    <t>Schaum's Electric Circuits Problem 10.29: Complex Power Example</t>
  </si>
  <si>
    <t>Circuits | AC power | Electric power | Electricity | Triangles | Voltage</t>
  </si>
  <si>
    <t>https://www.accessengineeringlibrary.com/content/video/V2929037667001</t>
  </si>
  <si>
    <t>Schaum's Electric Circuits Problem 10.51: Average Power Example</t>
  </si>
  <si>
    <t>Electric power | Circuits | Electricity | Circuit analysis | Resistors | Cosine</t>
  </si>
  <si>
    <t>https://www.accessengineeringlibrary.com/content/video/V2929037668001</t>
  </si>
  <si>
    <t>Schaum's Electric Circuits Problem 11.41: Polyphase Circuits Example 1</t>
  </si>
  <si>
    <t>Circuits | Electricity | Apparent power | Reactive power | Power factor | Three phase power</t>
  </si>
  <si>
    <t>https://www.accessengineeringlibrary.com/content/video/V2929037669001</t>
  </si>
  <si>
    <t>Schaum's Electric Circuits Problem 11.42: Polyphase Circuits Example 2</t>
  </si>
  <si>
    <t>Circuits | Electricity | Three phase power | Line voltage | Impedance | Cosine</t>
  </si>
  <si>
    <t>https://www.accessengineeringlibrary.com/content/video/V2929037670001</t>
  </si>
  <si>
    <t>Schaum's Electric Circuits Problem 2.21: Voltage Example</t>
  </si>
  <si>
    <t>Circuits | Voltage | Electricity | Waveforms | Inductors | Capacitors</t>
  </si>
  <si>
    <t>https://www.accessengineeringlibrary.com/content/video/V2929037648001</t>
  </si>
  <si>
    <t>Schaum's Electric Circuits Problem 2.23: KVL Example</t>
  </si>
  <si>
    <t>Circuits | Electricity | Kirchhoff's voltage law | Voltage | Watts | Voltage control</t>
  </si>
  <si>
    <t>https://www.accessengineeringlibrary.com/content/video/V2929037649001</t>
  </si>
  <si>
    <t>Schaum's Electric Circuits Problem 2.24: KCL Example</t>
  </si>
  <si>
    <t>Circuits | Kirchhoff's current law | Electricity | Voltage | Controlled sources | Watts</t>
  </si>
  <si>
    <t>https://www.accessengineeringlibrary.com/content/video/V2929037650001</t>
  </si>
  <si>
    <t>Schaum's Electric Circuits Problem 4.17/4.18: Mesh Current Method Example</t>
  </si>
  <si>
    <t>Circuits | Mesh analysis | Electric currents | Electricity | Voltage | Voltage drop</t>
  </si>
  <si>
    <t>https://www.accessengineeringlibrary.com/content/video/V2929037651001</t>
  </si>
  <si>
    <t>Schaum's Electric Circuits Problem 4.33: Thevenin and Norton equivalent</t>
  </si>
  <si>
    <t>Circuits | Thevenin's theorem | Electricity | Norton's theorem | Resistors | Nodal analysis</t>
  </si>
  <si>
    <t>https://www.accessengineeringlibrary.com/content/video/V2929037652001</t>
  </si>
  <si>
    <t>Schaum's Electric Circuits Problem 4.47: Superposition Example</t>
  </si>
  <si>
    <t>Circuits | Electricity | Superposition theorem | Voltage | Superposition | Kirchhoff's voltage law</t>
  </si>
  <si>
    <t>https://www.accessengineeringlibrary.com/content/video/V2929037653001</t>
  </si>
  <si>
    <t>Schaum's Electric Circuits Problem 4.52: Diode Example 1</t>
  </si>
  <si>
    <t>Diodes | Circuits | Electricity | Open circuit voltage | Bias voltage | Terminal voltage</t>
  </si>
  <si>
    <t>https://www.accessengineeringlibrary.com/content/video/V2929037654001</t>
  </si>
  <si>
    <t>Schaum's Electric Circuits Problem 4.53: Diode Example 2</t>
  </si>
  <si>
    <t>Circuits | Diodes | Electricity | Open circuit voltage | Voltage | Terminal voltage</t>
  </si>
  <si>
    <t>https://www.accessengineeringlibrary.com/content/video/V2929037655001</t>
  </si>
  <si>
    <t>Schaum's Electric Circuits Problem 4.54/4.55: Diode Example 3</t>
  </si>
  <si>
    <t>Circuits | Electricity | Diodes | Voltage | Resistors | Current sources</t>
  </si>
  <si>
    <t>https://www.accessengineeringlibrary.com/content/video/V2929037656001</t>
  </si>
  <si>
    <t>Schaum's Electric Circuits Problem 5.40: Op Amp Design Example 2</t>
  </si>
  <si>
    <t>Electricity | Circuit design | Circuits | Input resistance | Inverting amplifiers | Noninverting amplifiers</t>
  </si>
  <si>
    <t>https://www.accessengineeringlibrary.com/content/video/V2929037657001</t>
  </si>
  <si>
    <t>Schaum's Electric Circuits Problem 5.48: Op Amp Design Example 1</t>
  </si>
  <si>
    <t>Electricity | Circuit design | Circuits | Operational amplifiers | Resistors | Capacitors</t>
  </si>
  <si>
    <t>https://www.accessengineeringlibrary.com/content/video/V2929037658001</t>
  </si>
  <si>
    <t>Schaum's Electric Circuits Problem 6.29: Average and Effective Values</t>
  </si>
  <si>
    <t>Electricity | Circuits | Waveforms | RMS value | Integrals</t>
  </si>
  <si>
    <t>https://www.accessengineeringlibrary.com/content/video/V2929037659001</t>
  </si>
  <si>
    <t>Schaum's Electric Circuits Problem 6.32: Voltage and Current for an Inductor</t>
  </si>
  <si>
    <t>Inductors | Circuits | Voltage | Electric currents | Electricity | Waveforms</t>
  </si>
  <si>
    <t>https://www.accessengineeringlibrary.com/content/video/V2929037660001</t>
  </si>
  <si>
    <t>Schaum's Electric Circuits Problem 7.27: Transient response of an RC circuit</t>
  </si>
  <si>
    <t>RC circuits | Electricity | Transient response | Circuits | Resistors | Voltage</t>
  </si>
  <si>
    <t>https://www.accessengineeringlibrary.com/content/video/V2929037661001</t>
  </si>
  <si>
    <t>Schaum's Electric Circuits Problem 7.30: Transient response of an RL circuit</t>
  </si>
  <si>
    <t>RL circuits | Electricity | Transient response | Voltage | Resistors | Circuits</t>
  </si>
  <si>
    <t>https://www.accessengineeringlibrary.com/content/video/V2929037662001</t>
  </si>
  <si>
    <t>Schaum's Electric Circuits Problem 8.27: RLC Circuit example</t>
  </si>
  <si>
    <t>RLC circuits | Electricity | Circuits | Inductors | Capacitors | Voltage</t>
  </si>
  <si>
    <t>https://www.accessengineeringlibrary.com/content/video/V2929037663001</t>
  </si>
  <si>
    <t>Schaum's Electric Circuits Problem 8.34: Transfer Function Example</t>
  </si>
  <si>
    <t>Electricity | Circuits | RLC circuits | Zeros of a transfer function | Poles of a transfer function | Impedance</t>
  </si>
  <si>
    <t>https://www.accessengineeringlibrary.com/content/video/V2929037664001</t>
  </si>
  <si>
    <t>Schaum's Electric Circuits Problem 9.42: Impedance Example</t>
  </si>
  <si>
    <t>Circuits | Electrical impedance | Impedance | Electricity | Voltage | Phasors</t>
  </si>
  <si>
    <t>https://www.accessengineeringlibrary.com/content/video/V2929037665001</t>
  </si>
  <si>
    <t>Schaum's Electric Circuits Problem 9.59: Sinusoidal-Steady State Example</t>
  </si>
  <si>
    <t>Circuits | Electricity | Voltage | Electric currents | Inductors | Cosine</t>
  </si>
  <si>
    <t>https://www.accessengineeringlibrary.com/content/video/V2929037666001</t>
  </si>
  <si>
    <t>Schaum's Electromagnetics Supplementary Problem 10-26: Magnetic Field due to Current Flow</t>
  </si>
  <si>
    <t>Schaum's Outline of Electromagnetics, Fifth Edition|Schaum's Outline of Electromagnetics, 4th Edition</t>
  </si>
  <si>
    <t>Sudipa Mitra-Kirtley, Ph.D, Professor, Physics and Optical Engineering, Rose-Hulman Institute of Technology</t>
  </si>
  <si>
    <t>Electromagnetics | Magnetic field strength | Unit vectors | Magnetic fields</t>
  </si>
  <si>
    <t>https://www.accessengineeringlibrary.com/content/video/V2949872188001</t>
  </si>
  <si>
    <t>Schaum's Electromagnetics Supplementary Problem 10-28: Magnetic Field and Current Density</t>
  </si>
  <si>
    <t>Electromagnetics | Current density | Magnetic field strength | Electric currents | Electric conductors | Unit vectors</t>
  </si>
  <si>
    <t>https://www.accessengineeringlibrary.com/content/video/V2949872189001</t>
  </si>
  <si>
    <t>Schaum's Electromagnetics Supplementary Problem 11-19: Force on a Conductor in a Magnetic Field</t>
  </si>
  <si>
    <t>Electromagnetics | Electric conductors | Magnetic fields</t>
  </si>
  <si>
    <t>https://www.accessengineeringlibrary.com/content/video/V2949872190001</t>
  </si>
  <si>
    <t>Schaum's Electromagnetics Supplementary Problem 12-21: Inductance</t>
  </si>
  <si>
    <t>Electromagnetics | Inductance | Coaxial cable | Magnetic fields | Linkages | Permeability</t>
  </si>
  <si>
    <t>https://www.accessengineeringlibrary.com/content/video/V2949872191001</t>
  </si>
  <si>
    <t>Schaum's Electromagnetics Supplementary Problem 12-27: Mutual Inductance</t>
  </si>
  <si>
    <t>Electromagnetics | Mutual inductance | Permeability | Magnetic fields | Magnetic field strength | Electric power systems</t>
  </si>
  <si>
    <t>https://www.accessengineeringlibrary.com/content/video/V2949872192001</t>
  </si>
  <si>
    <t>Schaum's Electromagnetics Supplementary Problem 13-22: Current Density</t>
  </si>
  <si>
    <t>Electromagnetics | Current density | Electric fields | Conductivity | Sine | Partial derivatives</t>
  </si>
  <si>
    <t>https://www.accessengineeringlibrary.com/content/video/V2949872193001</t>
  </si>
  <si>
    <t>Schaum's Electromagnetics Supplementary Problem 14-20: Electromagnetic Waves</t>
  </si>
  <si>
    <t>Electromagnetics | Electromagnetic waves | Electricity | Electric fields | Unit vectors | Speed of light</t>
  </si>
  <si>
    <t>https://www.accessengineeringlibrary.com/content/video/V2949872194001</t>
  </si>
  <si>
    <t>Schaum's Electromagnetics Supplementary Problem 14-23: Electromagnetic Waves</t>
  </si>
  <si>
    <t>Electromagnetics | Electromagnetic waves | Electric fields | Sine | Electricity</t>
  </si>
  <si>
    <t>https://www.accessengineeringlibrary.com/content/video/V2949872195001</t>
  </si>
  <si>
    <t>Schaum's Electromagnetics Supplementary Problem 15-26: Parameters of a Conductor</t>
  </si>
  <si>
    <t>Electromagnetics | Electric conductors | Inductance | Capacitance | Electric conduction | Permittivity</t>
  </si>
  <si>
    <t>https://www.accessengineeringlibrary.com/content/video/V2949872196001</t>
  </si>
  <si>
    <t>Schaum's Electromagnetics Supplementary Problem 16-42: Rectangular Waveguide</t>
  </si>
  <si>
    <t>Electromagnetics | Waveguides | Cutoff frequency | Wavelengths | Phase velocity | Impedance</t>
  </si>
  <si>
    <t>https://www.accessengineeringlibrary.com/content/video/V2949872197001</t>
  </si>
  <si>
    <t>Schaum's Electromagnetics Supplementary Problem 17-28: Far-zone Magnetic Field</t>
  </si>
  <si>
    <t>Electromagnetics | Radiation | Wavelengths | Electromagnetic radiation | Antennas | Angular velocity</t>
  </si>
  <si>
    <t>https://www.accessengineeringlibrary.com/content/video/V2949872198001</t>
  </si>
  <si>
    <t>Schaum's Electromagnetics Supplementary Problem 2-21: Vector Multiplication</t>
  </si>
  <si>
    <t>Electromagnetics | Vector multiplication | Cross product | Dot product | Unit vectors</t>
  </si>
  <si>
    <t>https://www.accessengineeringlibrary.com/content/video/V2949872175001</t>
  </si>
  <si>
    <t>Schaum's Electromagnetics Supplementary Problem 2-27: Vector Analysis</t>
  </si>
  <si>
    <t>Electromagnetics | Vector analysis | Unit vectors | Dot product</t>
  </si>
  <si>
    <t>https://www.accessengineeringlibrary.com/content/video/V2949872176001</t>
  </si>
  <si>
    <t>Schaum's Electromagnetics Supplementary Problem 3-28: Electric Forces</t>
  </si>
  <si>
    <t>Electromagnetics | Electricity | Unit vectors | Electric charge</t>
  </si>
  <si>
    <t>https://www.accessengineeringlibrary.com/content/video/V2949872177001</t>
  </si>
  <si>
    <t>Schaum's Electromagnetics Supplementary Problem 4-31: Electric Flux Density</t>
  </si>
  <si>
    <t>Electromagnetics | Electric flux | Spherical surfaces | Surface integrals | Cosine</t>
  </si>
  <si>
    <t>https://www.accessengineeringlibrary.com/content/video/V2949872178001</t>
  </si>
  <si>
    <t>Schaum's Electromagnetics Supplementary Problem 5-29: Divergence</t>
  </si>
  <si>
    <t>Electromagnetics | Partial derivatives | Unit vectors</t>
  </si>
  <si>
    <t>https://www.accessengineeringlibrary.com/content/video/V2949872179001</t>
  </si>
  <si>
    <t>Schaum's Electromagnetics Supplementary Problem 5-51: Curl of a Vector</t>
  </si>
  <si>
    <t>Electromagnetics | Unit vectors | Vectors | Sine</t>
  </si>
  <si>
    <t>https://www.accessengineeringlibrary.com/content/video/V2949872180001</t>
  </si>
  <si>
    <t>Schaum's Electromagnetics Supplementary Problem 6-27: Electric Potential</t>
  </si>
  <si>
    <t>Electromagnetics | Electric potential</t>
  </si>
  <si>
    <t>https://www.accessengineeringlibrary.com/content/video/V2949872181001</t>
  </si>
  <si>
    <t xml:space="preserve">Schaum's Electromagnetics Supplementary Problem 7-32: Conductivity </t>
  </si>
  <si>
    <t>Electromagnetics | Conductivity</t>
  </si>
  <si>
    <t>https://www.accessengineeringlibrary.com/content/video/V2949872182001</t>
  </si>
  <si>
    <t>Schaum's Electromagnetics Supplementary Problem 7-41: Current Density</t>
  </si>
  <si>
    <t>Electromagnetics | Current density | Electric conductors</t>
  </si>
  <si>
    <t>https://www.accessengineeringlibrary.com/content/video/V2949872183001</t>
  </si>
  <si>
    <t>Schaum's Electromagnetics Supplementary Problem 8-30: Dielectric in Capacitor</t>
  </si>
  <si>
    <t>Electromagnetics | Capacitors | Dielectric constant | Capacitance | Acceptable separation distance</t>
  </si>
  <si>
    <t>https://www.accessengineeringlibrary.com/content/video/V2949872184001</t>
  </si>
  <si>
    <t>Schaum's Electromagnetics Supplementary Problem 8-44: Parameters in Parallel-plate Capacitor</t>
  </si>
  <si>
    <t>Electromagnetics | Capacitors | Acceptable separation distance | Current density | Permittivity | Voltage</t>
  </si>
  <si>
    <t>https://www.accessengineeringlibrary.com/content/video/V2949872185001</t>
  </si>
  <si>
    <t>Schaum's Electromagnetics Supplementary Problem 9-21: Electric Field and Potential</t>
  </si>
  <si>
    <t>Electromagnetics | Electric fields | Electric potential | Partial derivatives | Electric power | Electric field gradient</t>
  </si>
  <si>
    <t>https://www.accessengineeringlibrary.com/content/video/V2949872186001</t>
  </si>
  <si>
    <t>Schaum's Electromagnetics Supplementary Problem 9-23: Electric Potential in Cylindrical Co-ordinates</t>
  </si>
  <si>
    <t>https://www.accessengineeringlibrary.com/content/video/V2949872187001</t>
  </si>
  <si>
    <t>Schaum's Feedback and Control Systems Problem 10.16: Gain and Phase Margin</t>
  </si>
  <si>
    <t>Phase margin | Gain margin | Control systems | Magnitude phase plot | Tangent | Bode plots</t>
  </si>
  <si>
    <t>https://www.accessengineeringlibrary.com/content/video/V2928693112001</t>
  </si>
  <si>
    <t>Schaum's Feedback and Control Systems Problem 10.17: Phase Margin and Bandwidth</t>
  </si>
  <si>
    <t>Bandwidth | Phase margin | Control systems | System bandwidth | Magnitude phase plot | Resonant peak</t>
  </si>
  <si>
    <t>https://www.accessengineeringlibrary.com/content/video/V2928693113001</t>
  </si>
  <si>
    <t>Schaum's Feedback and Control Systems Problem 11.73/11.75: Nyquist Stability Criterion</t>
  </si>
  <si>
    <t>Control systems | Nyquist stability criterion | Feedback control systems | Magnitude phase plot | Transfer functions | Tangent</t>
  </si>
  <si>
    <t>https://www.accessengineeringlibrary.com/content/video/V2928693114001</t>
  </si>
  <si>
    <t>Schaum's Feedback and Control Systems Problem 12.17: Nyquist Design</t>
  </si>
  <si>
    <t>Control systems | Resonant peak | Tangent | Sine | Nyquist plots | Matlab</t>
  </si>
  <si>
    <t>https://www.accessengineeringlibrary.com/content/video/V2928693115001</t>
  </si>
  <si>
    <t>Schaum's Feedback and Control Systems Problem 13.43: S-Plane Example</t>
  </si>
  <si>
    <t>Control systems | Loop gain | Magnitude phase plot | Zeros of a transfer function | Poles of a transfer function | Angle measurement</t>
  </si>
  <si>
    <t>https://www.accessengineeringlibrary.com/content/video/V2928693116001</t>
  </si>
  <si>
    <t>Schaum's Feedback and Control Systems Problem 13.48: Root Locus Construction</t>
  </si>
  <si>
    <t>Control systems | Root locus method | Loop transfer function | Gain margin | Phase margin | Polynomials</t>
  </si>
  <si>
    <t>https://www.accessengineeringlibrary.com/content/video/V2928693117001</t>
  </si>
  <si>
    <t>Schaum's Feedback and Control Systems Problem 14.18: Root Locus Design Example 1</t>
  </si>
  <si>
    <t>Root locus method | Control systems | Feedback control systems | Dominant pole | Damping ratio | Step response</t>
  </si>
  <si>
    <t>https://www.accessengineeringlibrary.com/content/video/V2928693118001</t>
  </si>
  <si>
    <t>Schaum's Feedback and Control Systems Problem 14.19: Root Locus Design Example 2</t>
  </si>
  <si>
    <t>Control systems | Root locus method | Gain margin | Tangent | Magnitude phase plot | Transfer functions</t>
  </si>
  <si>
    <t>https://www.accessengineeringlibrary.com/content/video/V2928693119001</t>
  </si>
  <si>
    <t>Schaum's Feedback and Control Systems Problem 15.14: Bode Analysis</t>
  </si>
  <si>
    <t>Control systems | Bode plots | Magnitude phase plot | Phase measurement | Matlab | Angle measurement</t>
  </si>
  <si>
    <t>https://www.accessengineeringlibrary.com/content/video/V2928693120001</t>
  </si>
  <si>
    <t>Schaum's Feedback and Control Systems Problem 2.23: Block Diagrams</t>
  </si>
  <si>
    <t>Control systems | Block diagrams | Sensors | Feedback loops | Linkages | Heating elements</t>
  </si>
  <si>
    <t>https://www.accessengineeringlibrary.com/content/video/V2928693102001</t>
  </si>
  <si>
    <t>Schaum's Feedback and Control Systems Problem 3.39: Nonlinear system</t>
  </si>
  <si>
    <t>Nonlinear systems | Control systems | Linear systems | Nonlinear equations | Feedback control systems</t>
  </si>
  <si>
    <t>https://www.accessengineeringlibrary.com/content/video/V2928693103001</t>
  </si>
  <si>
    <t>Schaum's Feedback and Control Systems Problem 4.44/4.45: Initial and Final Value Theorems</t>
  </si>
  <si>
    <t>Control systems | Initial value theorem | Final value theorem | Laplace transform</t>
  </si>
  <si>
    <t>https://www.accessengineeringlibrary.com/content/video/V2928693104001</t>
  </si>
  <si>
    <t>Schaum's Feedback and Control Systems Problem 4.49: Laplace Transforms</t>
  </si>
  <si>
    <t>Control systems | Laplace transform | Derivatives | Forced response | Differential equations | Inverse Laplace transforms</t>
  </si>
  <si>
    <t>https://www.accessengineeringlibrary.com/content/video/V2928693105001</t>
  </si>
  <si>
    <t>Schaum's Feedback and Control Systems Problem 5.30: Stable Systems</t>
  </si>
  <si>
    <t>Control systems | Stable system | Polynomials | Routh criterion | Unstable system | 5S</t>
  </si>
  <si>
    <t>https://www.accessengineeringlibrary.com/content/video/V2928693106001</t>
  </si>
  <si>
    <t>Schaum's Feedback and Control Systems Problem 6.12/6.13/6.14: Bode Design</t>
  </si>
  <si>
    <t>Control systems | Phase margin | Gain margin | Amplifiers | Magnitude phase plot | Bode plots</t>
  </si>
  <si>
    <t>https://www.accessengineeringlibrary.com/content/video/V2928693121001</t>
  </si>
  <si>
    <t>Schaum's Feedback and Control Systems Problem 6.44: Transfer Function Example 1</t>
  </si>
  <si>
    <t>Control systems | Transfer functions | Frequency domains | Impedance | Capacitors | Voltage divider</t>
  </si>
  <si>
    <t>https://www.accessengineeringlibrary.com/content/video/V2928693107001</t>
  </si>
  <si>
    <t>Schaum's Feedback and Control Systems Problem 6.53: Ramp Response</t>
  </si>
  <si>
    <t>Control systems | Step response | Transfer functions | Inverse Laplace transforms | Impulse response | Step function</t>
  </si>
  <si>
    <t>https://www.accessengineeringlibrary.com/content/video/V2928693108001</t>
  </si>
  <si>
    <t>Schaum's Feedback and Control Systems Problem 7.29: Transfer Function Example 2</t>
  </si>
  <si>
    <t>Control systems | Transfer functions | Block diagrams | Feedback control systems</t>
  </si>
  <si>
    <t>https://www.accessengineeringlibrary.com/content/video/V2928693109001</t>
  </si>
  <si>
    <t>Schaum's Feedback and Control Systems Problem 8.21: Mason's Gain Rule</t>
  </si>
  <si>
    <t>Control systems | Signal flow graphs | Loop gain | Feedback control systems | Transfer functions | Feedback loops</t>
  </si>
  <si>
    <t>https://www.accessengineeringlibrary.com/content/video/V2928693110001</t>
  </si>
  <si>
    <t>Schaum's Feedback and Control Systems Problem 9.21: Sensitivity</t>
  </si>
  <si>
    <t>Control systems | Control system sensitivity | Closed loop transfer function | Derivatives | Feedback control systems</t>
  </si>
  <si>
    <t>https://www.accessengineeringlibrary.com/content/video/V2928693111001</t>
  </si>
  <si>
    <t>Schaum's Fluid Mechanics and Hydraulics Problem 11-12: Compressible Flow Through a Nozzle</t>
  </si>
  <si>
    <t>Thom Adams, Ph.D., Professor, Mechanical Engineering, Rose-Hulman Institute of Technology</t>
  </si>
  <si>
    <t>Hydraulics | Fluid mechanics | Compressible flow | Flow rate | Reynolds number | Friction factors</t>
  </si>
  <si>
    <t>https://www.accessengineeringlibrary.com/content/video/V2940556041001</t>
  </si>
  <si>
    <t>Schaum's Fluid Mechanics and Hydraulics Problem 11-9: Compressible Flow of Air in a Constant Area Conduit</t>
  </si>
  <si>
    <t>Hydraulics | Fluid mechanics | Compressible flow | Pressure drop | Pipes | Friction factors</t>
  </si>
  <si>
    <t>https://www.accessengineeringlibrary.com/content/video/V2940556040001</t>
  </si>
  <si>
    <t>Schaum's Fluid Mechanics and Hydraulics Problem 12-52: Velocity Measurement via a Pitot Static Tube</t>
  </si>
  <si>
    <t>Hydraulics | Fluid mechanics | Pitot tubes | Flow velocity | Pressure measurement | Atmospheric pressure</t>
  </si>
  <si>
    <t>https://www.accessengineeringlibrary.com/content/video/V2940556042001</t>
  </si>
  <si>
    <t>Schaum's Fluid Mechanics and Hydraulics Problem 1-28: Shear Stress, Force, and Viscosity</t>
  </si>
  <si>
    <t>Shear stress | Hydraulics | Fluid mechanics | Viscosity | Shear force | Viscous fluids</t>
  </si>
  <si>
    <t>https://www.accessengineeringlibrary.com/content/video/V2940556026001</t>
  </si>
  <si>
    <t>Schaum's Fluid Mechanics and Hydraulics Problem 1-29: Surface Tension</t>
  </si>
  <si>
    <t>Surface tension | Hydraulics | Fluid mechanics | Volume | Free surface flow | Density</t>
  </si>
  <si>
    <t>https://www.accessengineeringlibrary.com/content/video/V2940556027001</t>
  </si>
  <si>
    <t>Schaum's Fluid Mechanics and Hydraulics Problem 13-64: Oil Jet on a Flat Plate</t>
  </si>
  <si>
    <t>Hydraulics | Fluid mechanics | Momentum | Force | Mercury | Pipes</t>
  </si>
  <si>
    <t>https://www.accessengineeringlibrary.com/content/video/V2940556043001</t>
  </si>
  <si>
    <t>Schaum's Fluid Mechanics and Hydraulics Problem 13-81: Lift and Drag on a Flate Plate</t>
  </si>
  <si>
    <t>Hydraulics | Fluid mechanics | Drag | Fluid specific gravity | Flow velocity | Flow rate</t>
  </si>
  <si>
    <t>https://www.accessengineeringlibrary.com/content/video/V2940556044001</t>
  </si>
  <si>
    <t>Schaum's Fluid Mechanics and Hydraulics Problem 14-33: Variable Operating Conditions for a Turbine</t>
  </si>
  <si>
    <t>Hydraulics | Fluid mechanics | Turbines | Dimensional analysis | Drag coefficients | Angle of attack</t>
  </si>
  <si>
    <t>https://www.accessengineeringlibrary.com/content/video/V2940556045001</t>
  </si>
  <si>
    <t>Schaum's Fluid Mechanics and Hydraulics Problem 2-29: Pressure Measurement</t>
  </si>
  <si>
    <t>Hydraulics | Fluid mechanics | Pressure measurement | Gauge pressure | Manometers | Hydrostatic pressure</t>
  </si>
  <si>
    <t>https://www.accessengineeringlibrary.com/content/video/V2940556028001</t>
  </si>
  <si>
    <t>Schaum's Fluid Mechanics and Hydraulics Problem 2-38: Weight of a Piston</t>
  </si>
  <si>
    <t>Hydraulics | Fluid mechanics | Hydraulic oils | Gauge pressure | Specific weight | Total pressure</t>
  </si>
  <si>
    <t>https://www.accessengineeringlibrary.com/content/video/V2940556029001</t>
  </si>
  <si>
    <t>Schaum's Fluid Mechanics and Hydraulics Problem 3-24: Resultant Force on a Dam</t>
  </si>
  <si>
    <t>Hydraulics | Fluid mechanics | Dams | Centers of mass | Sine | Free surface flow</t>
  </si>
  <si>
    <t>https://www.accessengineeringlibrary.com/content/video/V2940556030001</t>
  </si>
  <si>
    <t>Schaum's Fluid Mechanics and Hydraulics Problem 3-40: Resultant Force Versus Weight</t>
  </si>
  <si>
    <t>Hydraulics | Fluid mechanics | Atmospheric pressure | Water tanks | Hydrostatic pressure | Fluid density</t>
  </si>
  <si>
    <t>https://www.accessengineeringlibrary.com/content/video/V2940556031001</t>
  </si>
  <si>
    <t>Schaum's Fluid Mechanics and Hydraulics Problem 4-20: Buoyant Cylinder</t>
  </si>
  <si>
    <t>Hydraulics | Fluid mechanics | Buoyancy | Volume | Specific weight | Algebra</t>
  </si>
  <si>
    <t>https://www.accessengineeringlibrary.com/content/video/V2940556032001</t>
  </si>
  <si>
    <t>Schaum's Fluid Mechanics and Hydraulics Problem 4-35: Stability of a Boat Hull</t>
  </si>
  <si>
    <t>Hydraulics | Fluid mechanics | Buoyancy | Centers of gravity | Volume | Centers of mass</t>
  </si>
  <si>
    <t>https://www.accessengineeringlibrary.com/content/video/V2940556033001</t>
  </si>
  <si>
    <t>Schaum's Fluid Mechanics and Hydraulics Problem 5-16: Uniformly Accelerated Fluid</t>
  </si>
  <si>
    <t>Hydraulics | Fluid mechanics | Spills | Atmospheric pressure | Acceleration | Hydrostatic pressure</t>
  </si>
  <si>
    <t>https://www.accessengineeringlibrary.com/content/video/V2940556034001</t>
  </si>
  <si>
    <t>Schaum's Fluid Mechanics and Hydraulics Problem 6-40: Dimensional Analysis for a Simple Pendulum</t>
  </si>
  <si>
    <t>Dimensional analysis | Hydraulics | Fluid mechanics | Mass | Exponents | Acceleration</t>
  </si>
  <si>
    <t>https://www.accessengineeringlibrary.com/content/video/V2940556035001</t>
  </si>
  <si>
    <t>Schaum's Fluid Mechanics and Hydraulics Problem 7-56: Gas Flow Through a Conduit</t>
  </si>
  <si>
    <t>Fluid mechanics | Hydraulics | Gas flow rate | Fluid density | Flow velocity | Flow rate</t>
  </si>
  <si>
    <t>https://www.accessengineeringlibrary.com/content/video/V2940556036001</t>
  </si>
  <si>
    <t>Schaum's Fluid Mechanics and Hydraulics Problem 7-71: Water Flow Through a Variable Area Conduit</t>
  </si>
  <si>
    <t>Hydraulics | Fluid mechanics | Energy equation | Conservation of mass | Pressure drop | Fluid density</t>
  </si>
  <si>
    <t>https://www.accessengineeringlibrary.com/content/video/V2940556037001</t>
  </si>
  <si>
    <t>Schaum's Fluid Mechanics and Hydraulics Problem 8-50: Oil Flow Between Two tanks</t>
  </si>
  <si>
    <t>Hydraulics | Fluid mechanics | Friction factors | Pressure drop | Flow rate | Reynolds number</t>
  </si>
  <si>
    <t>https://www.accessengineeringlibrary.com/content/video/V2940556038001</t>
  </si>
  <si>
    <t>Schaum's Fluid Mechanics and Hydraulics Problem 9-30: Water Flow Between Two Tanks</t>
  </si>
  <si>
    <t>Water tanks | Hydraulics | Fluid mechanics | Water supply | Piping systems | Pipe flow</t>
  </si>
  <si>
    <t>https://www.accessengineeringlibrary.com/content/video/V2942794483001</t>
  </si>
  <si>
    <t>Schaum's Geometry Supplementary Problem 1.10</t>
  </si>
  <si>
    <t>Schaum's Outline of Geometry, Sixth Edition|Schaum's Outline of Geometry, Fifth Edition</t>
  </si>
  <si>
    <t>Angle measurement</t>
  </si>
  <si>
    <t>https://www.accessengineeringlibrary.com/content/video/V2079881084001</t>
  </si>
  <si>
    <t>Schaum's Geometry Supplementary Problem 10.14</t>
  </si>
  <si>
    <t>https://www.accessengineeringlibrary.com/content/video/V2079862880001</t>
  </si>
  <si>
    <t>Schaum's Geometry Supplementary Problem 10.43</t>
  </si>
  <si>
    <t>Circles</t>
  </si>
  <si>
    <t>https://www.accessengineeringlibrary.com/content/video/V2079872832001</t>
  </si>
  <si>
    <t>Schaum's Geometry Supplementary Problem 11.5</t>
  </si>
  <si>
    <t>https://www.accessengineeringlibrary.com/content/video/V2079860874001</t>
  </si>
  <si>
    <t>Schaum's Geometry Supplementary Problem 12.16</t>
  </si>
  <si>
    <t>https://www.accessengineeringlibrary.com/content/video/V2079862879001</t>
  </si>
  <si>
    <t>Schaum's Geometry Supplementary Problem 12.46</t>
  </si>
  <si>
    <t>Equation of a line</t>
  </si>
  <si>
    <t>https://www.accessengineeringlibrary.com/content/video/V2079872831001</t>
  </si>
  <si>
    <t>Schaum's Geometry Supplementary Problem 13.11</t>
  </si>
  <si>
    <t>Polygons | Inequalities | Angle measurement | Triangles</t>
  </si>
  <si>
    <t>https://www.accessengineeringlibrary.com/content/video/V2079860873001</t>
  </si>
  <si>
    <t>Schaum's Geometry Supplementary Problem 14.5</t>
  </si>
  <si>
    <t>Triangles</t>
  </si>
  <si>
    <t>https://www.accessengineeringlibrary.com/content/video/V2079862877001</t>
  </si>
  <si>
    <t>Schaum's Geometry Supplementary Problem 17.7</t>
  </si>
  <si>
    <t>Volume | Volume formulas</t>
  </si>
  <si>
    <t>https://www.accessengineeringlibrary.com/content/video/V2079872830001</t>
  </si>
  <si>
    <t>Schaum's Geometry Supplementary Problem 18.6</t>
  </si>
  <si>
    <t>Triangles | Mirror reflection | Right triangles</t>
  </si>
  <si>
    <t>https://www.accessengineeringlibrary.com/content/video/V2079860872001</t>
  </si>
  <si>
    <t>Schaum's Geometry Supplementary Problem 2.5</t>
  </si>
  <si>
    <t>https://www.accessengineeringlibrary.com/content/video/V2079862885001</t>
  </si>
  <si>
    <t>Schaum's Geometry Supplementary Problem 2.9</t>
  </si>
  <si>
    <t>https://www.accessengineeringlibrary.com/content/video/V2079872837001</t>
  </si>
  <si>
    <t>Schaum's Geometry Supplementary Problem 3.10</t>
  </si>
  <si>
    <t>Triangles | Isosceles triangles</t>
  </si>
  <si>
    <t>https://www.accessengineeringlibrary.com/content/video/V2079862884001</t>
  </si>
  <si>
    <t>Schaum's Geometry Supplementary Problem 3.2</t>
  </si>
  <si>
    <t>Triangles | Angle measurement</t>
  </si>
  <si>
    <t>https://www.accessengineeringlibrary.com/content/video/V2079881082001</t>
  </si>
  <si>
    <t>Schaum's Geometry Supplementary Problem 4.12</t>
  </si>
  <si>
    <t>Triangles | Angle measurement | Right triangles | Digital to analog converters | Analog to digital converters</t>
  </si>
  <si>
    <t>https://www.accessengineeringlibrary.com/content/video/V2079862883001</t>
  </si>
  <si>
    <t>Schaum's Geometry Supplementary Problem 4.4</t>
  </si>
  <si>
    <t>https://www.accessengineeringlibrary.com/content/video/V2079860880001</t>
  </si>
  <si>
    <t>Schaum's Geometry Supplementary Problem 5.12</t>
  </si>
  <si>
    <t>Triangles | Analog to digital converters</t>
  </si>
  <si>
    <t>https://www.accessengineeringlibrary.com/content/video/V2079872836001</t>
  </si>
  <si>
    <t>Schaum's Geometry Supplementary Problem 5.14</t>
  </si>
  <si>
    <t>https://www.accessengineeringlibrary.com/content/video/V2079860879001</t>
  </si>
  <si>
    <t>Schaum's Geometry Supplementary Problem 6.37</t>
  </si>
  <si>
    <t>Angle measurement | Tangent | Triangles</t>
  </si>
  <si>
    <t>https://www.accessengineeringlibrary.com/content/video/V2079862882001</t>
  </si>
  <si>
    <t>Schaum's Geometry Supplementary Problem 6.39</t>
  </si>
  <si>
    <t>Angle measurement | Tangent | Isosceles triangles | Digital to analog converters</t>
  </si>
  <si>
    <t>https://www.accessengineeringlibrary.com/content/video/V2079872834001</t>
  </si>
  <si>
    <t>Schaum's Geometry Supplementary Problem 7.19</t>
  </si>
  <si>
    <t>Triangles | Algebra</t>
  </si>
  <si>
    <t>https://www.accessengineeringlibrary.com/content/video/V2079860877001</t>
  </si>
  <si>
    <t>Schaum's Geometry Supplementary Problem 7.31</t>
  </si>
  <si>
    <t>Triangles | Right triangles</t>
  </si>
  <si>
    <t>https://www.accessengineeringlibrary.com/content/video/V2079862881001</t>
  </si>
  <si>
    <t>Schaum's Geometry Supplementary Problem 8.24</t>
  </si>
  <si>
    <t>Trigonometric functions | Tangent | Angle measurement | Right triangles | Triangles</t>
  </si>
  <si>
    <t>https://www.accessengineeringlibrary.com/content/video/V2079872833001</t>
  </si>
  <si>
    <t>Schaum's Geometry Supplementary Problem 9.21</t>
  </si>
  <si>
    <t>Triangles | Equilateral triangles | Algebra</t>
  </si>
  <si>
    <t>https://www.accessengineeringlibrary.com/content/video/V2079862875001</t>
  </si>
  <si>
    <t>Schaum's Geometry Supplementary Problem 9.31</t>
  </si>
  <si>
    <t>Polygons | Triangles</t>
  </si>
  <si>
    <t>https://www.accessengineeringlibrary.com/content/video/V2079860875001</t>
  </si>
  <si>
    <t>Schaum's Linear Algebra Supplementary Problem 1.43: Vector Operations</t>
  </si>
  <si>
    <t>Schaum's Outline of Linear Algebra, Sixth Edition|Schaum's Outline of Linear Algebra, Fifth Edition</t>
  </si>
  <si>
    <t>Linear algebra | Vectors | Dot product | Scalars</t>
  </si>
  <si>
    <t>https://www.accessengineeringlibrary.com/content/video/V2079687218001</t>
  </si>
  <si>
    <t>Schaum's Linear Algebra Supplementary Problem 1.64: Cross Products</t>
  </si>
  <si>
    <t>Linear algebra | Cross product | Vectors | Unit vectors | Unit conversion | Matrices</t>
  </si>
  <si>
    <t>https://www.accessengineeringlibrary.com/content/video/V2079718297001</t>
  </si>
  <si>
    <t>Schaum's Linear Algebra Supplementary Problem 10.52: Jordan Canonical Forms</t>
  </si>
  <si>
    <t>Linear algebra | Polynomials | Eigenvalues</t>
  </si>
  <si>
    <t>https://www.accessengineeringlibrary.com/content/video/V2079687211001</t>
  </si>
  <si>
    <t>Schaum's Linear Algebra Supplementary Problem 11.19: Dual Spaces and Bases</t>
  </si>
  <si>
    <t>Linear algebra | Polynomials | Vector spaces | System of equations</t>
  </si>
  <si>
    <t>https://www.accessengineeringlibrary.com/content/video/V2079718281001</t>
  </si>
  <si>
    <t>Schaum's Linear Algebra Supplementary Problem 12.33: Quadratic Forms</t>
  </si>
  <si>
    <t>Linear algebra | Matrices</t>
  </si>
  <si>
    <t>https://www.accessengineeringlibrary.com/content/video/V2079655950001</t>
  </si>
  <si>
    <t>Schaum's Linear Algebra Supplementary Problem 12.41: Positive Definite Quadratic Forms</t>
  </si>
  <si>
    <t>https://www.accessengineeringlibrary.com/content/video/V2079687210001</t>
  </si>
  <si>
    <t>Schaum's Linear Algebra Supplementary Problem 13.32: Unitary Matrices</t>
  </si>
  <si>
    <t>Linear algebra | Real numbers | Complex numbers</t>
  </si>
  <si>
    <t>https://www.accessengineeringlibrary.com/content/video/V2079718280001</t>
  </si>
  <si>
    <t>Schaum's Linear Algebra Supplementary Problem 2.42: Matrix Algebra</t>
  </si>
  <si>
    <t>Linear algebra | Algebra | Scalars | Matrices</t>
  </si>
  <si>
    <t>https://www.accessengineeringlibrary.com/content/video/V2079728781001</t>
  </si>
  <si>
    <t>Schaum's Linear Algebra Supplementary Problem 2.54: Matrix Inverse</t>
  </si>
  <si>
    <t>https://www.accessengineeringlibrary.com/content/video/V2079687217001</t>
  </si>
  <si>
    <t>Schaum's Linear Algebra Supplementary Problem 3.59: Homogeneous Systems - Basis and Dimension</t>
  </si>
  <si>
    <t>Linear algebra | Homogeneous equations | System of equations</t>
  </si>
  <si>
    <t>https://www.accessengineeringlibrary.com/content/video/V2079718296001</t>
  </si>
  <si>
    <t>Schaum's Linear Algebra Supplementary Problem 3.61: Matrix Reduction - Echelon and Row Canonical Form</t>
  </si>
  <si>
    <t>https://www.accessengineeringlibrary.com/content/video/V2079728780001</t>
  </si>
  <si>
    <t>Schaum's Linear Algebra Supplementary Problem 3.69: LU factorization</t>
  </si>
  <si>
    <t>Linear algebra | Factoring | Decomposition</t>
  </si>
  <si>
    <t>https://www.accessengineeringlibrary.com/content/video/V2079687216001</t>
  </si>
  <si>
    <t>Schaum's Linear Algebra Supplementary Problem 4.106: Column Spaces</t>
  </si>
  <si>
    <t>https://www.accessengineeringlibrary.com/content/video/V2079718292001</t>
  </si>
  <si>
    <t>Schaum's Linear Algebra Supplementary Problem 4.77: Vector Subspaces</t>
  </si>
  <si>
    <t>Linear algebra | Scalars</t>
  </si>
  <si>
    <t>https://www.accessengineeringlibrary.com/content/video/V2079718294001</t>
  </si>
  <si>
    <t>Schaum's Linear Algebra Supplementary Problem 4.84: Linear Combinations</t>
  </si>
  <si>
    <t>Linear algebra | System of equations | Polynomials</t>
  </si>
  <si>
    <t>https://www.accessengineeringlibrary.com/content/video/V2079728779001</t>
  </si>
  <si>
    <t>Schaum's Linear Algebra Supplementary Problem 5.49: Linear Mappings</t>
  </si>
  <si>
    <t>Linear algebra | Linear transformations | Scalars</t>
  </si>
  <si>
    <t>https://www.accessengineeringlibrary.com/content/video/V2079728778001</t>
  </si>
  <si>
    <t>Schaum's Linear Algebra Supplementary Problem 5.63: Linear Mappings - Kernal and Image</t>
  </si>
  <si>
    <t>Linear algebra | Linear transformations | System of equations</t>
  </si>
  <si>
    <t>https://www.accessengineeringlibrary.com/content/video/V2079687214001</t>
  </si>
  <si>
    <t>Schaum's Linear Algebra Supplementary Problem 6.43: Differential Operator Matrix Representation</t>
  </si>
  <si>
    <t>Linear algebra | Derivatives | Linear transformations | Vector spaces | Coefficient matrices</t>
  </si>
  <si>
    <t>https://www.accessengineeringlibrary.com/content/video/V2079718288001</t>
  </si>
  <si>
    <t>Schaum's Linear Algebra Supplementary Problem 6.52: Linear Operator and Change of Basis</t>
  </si>
  <si>
    <t>Linear algebra | Vector spaces | Linear transformations | System of equations | Coefficient matrices</t>
  </si>
  <si>
    <t>https://www.accessengineeringlibrary.com/content/video/V2079728776001</t>
  </si>
  <si>
    <t>Schaum's Linear Algebra Supplementary Problem 7.57: Inner Products</t>
  </si>
  <si>
    <t>Linear algebra | Real numbers</t>
  </si>
  <si>
    <t>https://www.accessengineeringlibrary.com/content/video/V2079687213001</t>
  </si>
  <si>
    <t>Schaum's Linear Algebra Supplementary Problem 7.75: Gram-Schmidt Algorithm</t>
  </si>
  <si>
    <t>Linear algebra | Vectors | Dot product</t>
  </si>
  <si>
    <t>https://www.accessengineeringlibrary.com/content/video/V2079718285001</t>
  </si>
  <si>
    <t>Schaum's Linear Algebra Supplementary Problem 8.41: Determinant of a Matrix</t>
  </si>
  <si>
    <t>https://www.accessengineeringlibrary.com/content/video/V2079728774001</t>
  </si>
  <si>
    <t>Schaum's Linear Algebra Supplementary Problem 8.61: Determinant of Linear Operator</t>
  </si>
  <si>
    <t>Linear algebra | Derivatives | Vector spaces | Coefficient matrices</t>
  </si>
  <si>
    <t>https://www.accessengineeringlibrary.com/content/video/V2079687212001</t>
  </si>
  <si>
    <t>Schaum's Linear Algebra Supplementary Problem 9.46: Eigenvalues and Eigenvectors</t>
  </si>
  <si>
    <t>Linear algebra | Eigenvectors | Eigenvalues | Matrices | System of equations | Polynomials</t>
  </si>
  <si>
    <t>https://www.accessengineeringlibrary.com/content/video/V2079718284001</t>
  </si>
  <si>
    <t>Schaum's Linear Algebra Supplementary Problem 9.57: Diagonalizing Real Symmetric Matrices</t>
  </si>
  <si>
    <t>Linear algebra | Eigenvectors | Eigenvalues | Matrices | Polynomials | System of equations</t>
  </si>
  <si>
    <t>https://www.accessengineeringlibrary.com/content/video/V2079655952001</t>
  </si>
  <si>
    <t>Schaum's Physics Supplementary Problem 10-15: Rotational Motion</t>
  </si>
  <si>
    <t>Schaum's Outline of Physics for Engineering and Science, Third Edition|Schaum's Outline of Physics for Engineering and Science, Fourth Edition</t>
  </si>
  <si>
    <t>Physics | Spin | Kinematics | Equations of motion | Angular velocity | Angular acceleration</t>
  </si>
  <si>
    <t>https://www.accessengineeringlibrary.com/content/video/V2630022189001</t>
  </si>
  <si>
    <t>Schaum's Physics Supplementary Problem 10-24: Moment of Inertia</t>
  </si>
  <si>
    <t>Physics | Moment of inertia | Conservation of energy | Kinetic energy | Potential energy | Energy potential</t>
  </si>
  <si>
    <t>https://www.accessengineeringlibrary.com/content/video/V2630022190001</t>
  </si>
  <si>
    <t>Schaum's Physics Supplementary Problem 11-13: Conservation of Angular Momentum</t>
  </si>
  <si>
    <t>Physics | Angular momentum | Centers of mass | Comets | Orbital mechanics | Sine</t>
  </si>
  <si>
    <t>https://www.accessengineeringlibrary.com/content/video/V2630022191001</t>
  </si>
  <si>
    <t>Schaum's Physics Supplementary Problem 11-18: Conservation of Angular Momentum</t>
  </si>
  <si>
    <t>Physics | Angular momentum | Moment of inertia | Centers of mass | Angular velocity | Torque</t>
  </si>
  <si>
    <t>https://www.accessengineeringlibrary.com/content/video/V2630022192001</t>
  </si>
  <si>
    <t>Schaum's Physics Supplementary Problem 12-12: Static Equilibrium</t>
  </si>
  <si>
    <t>Physics | Static equilibrium | Torque | Pythagorean theorem | Right triangles | Force</t>
  </si>
  <si>
    <t>https://www.accessengineeringlibrary.com/content/video/V2630022193001</t>
  </si>
  <si>
    <t>Schaum's Physics Supplementary Problem 12-19: A Ladder in Static Equilibrium</t>
  </si>
  <si>
    <t>Physics | Static equilibrium | Cosine | Sine | Coefficient of friction | Torque</t>
  </si>
  <si>
    <t>https://www.accessengineeringlibrary.com/content/video/V2630022194001</t>
  </si>
  <si>
    <t>Schaum's Physics Supplementary Problem 13-11: Simple Harmonic Motion</t>
  </si>
  <si>
    <t>Physics | Harmonics | Sine | Static equilibrium | Mass | Acceleration</t>
  </si>
  <si>
    <t>https://www.accessengineeringlibrary.com/content/video/V2630022195001</t>
  </si>
  <si>
    <t>Schaum's Physics Supplementary Problem 13-16: Energy in Simple Harmonic Motion</t>
  </si>
  <si>
    <t>Physics | Harmonics | Conservation of energy | Potential energy | Kinetic energy | Amplitude</t>
  </si>
  <si>
    <t>https://www.accessengineeringlibrary.com/content/video/V2630022196001</t>
  </si>
  <si>
    <t>Schaum's Physics Supplementary Problem 14-15: Universal Law of Gravitation</t>
  </si>
  <si>
    <t>Physics | Gravity | Potential energy | Energy conservation | Energy potential | Rockets</t>
  </si>
  <si>
    <t>https://www.accessengineeringlibrary.com/content/video/V2630022197001</t>
  </si>
  <si>
    <t>Schaum's Physics Supplementary Problem 15-12: Fluid Motion</t>
  </si>
  <si>
    <t>Physics | Flow rate | Flow velocity | Arteries</t>
  </si>
  <si>
    <t>https://www.accessengineeringlibrary.com/content/video/V2630022198001</t>
  </si>
  <si>
    <t>Schaum's Physics Supplementary Problem 15-14: Bernoulli's  Principle</t>
  </si>
  <si>
    <t>Physics | Wood | Fluid density | Density | Mass | Volume</t>
  </si>
  <si>
    <t>https://www.accessengineeringlibrary.com/content/video/V2630022199001</t>
  </si>
  <si>
    <t>Schaum's Physics Supplementary Problem 3-18: Motion in One Dimension</t>
  </si>
  <si>
    <t>Physics | Acceleration | Kinematics | Traffic signals</t>
  </si>
  <si>
    <t>https://www.accessengineeringlibrary.com/content/video/V2630022175001</t>
  </si>
  <si>
    <t>Schaum's Physics Supplementary Problem 3-29: Time and Speed in One Dimension</t>
  </si>
  <si>
    <t>Physics | Acceleration | Equations of motion | Velocity | Gravity | Deceleration</t>
  </si>
  <si>
    <t>https://www.accessengineeringlibrary.com/content/video/V2630022176001</t>
  </si>
  <si>
    <t>Schaum's Physics Supplementary Problem 4-11: Motion in a Plane</t>
  </si>
  <si>
    <t>Physics | Velocity | Acceleration | Tangent | Gravity</t>
  </si>
  <si>
    <t>https://www.accessengineeringlibrary.com/content/video/V2630022177001</t>
  </si>
  <si>
    <t>Schaum's Physics Supplementary Problem 4-21: Circular Motion</t>
  </si>
  <si>
    <t>Physics | Acceleration | Fan blades | Speed | Electric fields</t>
  </si>
  <si>
    <t>https://www.accessengineeringlibrary.com/content/video/V2630022178001</t>
  </si>
  <si>
    <t>Schaum's Physics Supplementary Problem 5-29: Newton's Laws of Motion</t>
  </si>
  <si>
    <t>Physics | Newtons laws of motion | Sine | Tangent | Mass | Cosine</t>
  </si>
  <si>
    <t>https://www.accessengineeringlibrary.com/content/video/V2630022179001</t>
  </si>
  <si>
    <t>Schaum's Physics Supplementary Problem 5-41: Frictional Force and Constant Acceleration</t>
  </si>
  <si>
    <t>Physics | Acceleration | Force | Mass | Friction | Coefficient of friction</t>
  </si>
  <si>
    <t>https://www.accessengineeringlibrary.com/content/video/V2630022180001</t>
  </si>
  <si>
    <t>Schaum's Physics Supplementary Problem 6-14: Advanced Circular Motion</t>
  </si>
  <si>
    <t>Physics | Newtons laws of motion | Angular velocity | Acceleration | Mass</t>
  </si>
  <si>
    <t>https://www.accessengineeringlibrary.com/content/video/V2630022181001</t>
  </si>
  <si>
    <t>Schaum's Physics Supplementary Problem 6-16: Newton's Laws of Motion with Circular Motion</t>
  </si>
  <si>
    <t>Physics | Newtons laws of motion | Cosine | Angular velocity | Tangent | Sine</t>
  </si>
  <si>
    <t>https://www.accessengineeringlibrary.com/content/video/V2630022182001</t>
  </si>
  <si>
    <t>Schaum's Physics Supplementary Problem 7-15: Work and Energy</t>
  </si>
  <si>
    <t>Physics | Energy and work | Velocity | Force | Mass | Kinetic theory</t>
  </si>
  <si>
    <t>https://www.accessengineeringlibrary.com/content/video/V2630022183001</t>
  </si>
  <si>
    <t>Schaum's Physics Supplementary Problem 7-19: Work-Energy Theorem Involving a Spring</t>
  </si>
  <si>
    <t>Physics | Kinetic energy | Mass | Kinetic theory | Acceleration | Force</t>
  </si>
  <si>
    <t>https://www.accessengineeringlibrary.com/content/video/V2630022184001</t>
  </si>
  <si>
    <t>Schaum's Physics Supplementary Problem 8-19: Gravitational Potential Energy</t>
  </si>
  <si>
    <t>Physics | Potential energy | Conservation of energy | Mass | Kinetic energy | Friction</t>
  </si>
  <si>
    <t>https://www.accessengineeringlibrary.com/content/video/V2630022185001</t>
  </si>
  <si>
    <t>Schaum's Physics Supplementary Problem 8-22: Spring Potential Energy</t>
  </si>
  <si>
    <t>Physics | Potential energy | Conservation of energy | Kinetics | Mass | Kinetic energy</t>
  </si>
  <si>
    <t>https://www.accessengineeringlibrary.com/content/video/V2630022186001</t>
  </si>
  <si>
    <t>Schaum's Physics Supplementary Problem 9-15: Conservation of Linear Momentum</t>
  </si>
  <si>
    <t>Physics | Linear momentum | Velocity | Mass | Momentum</t>
  </si>
  <si>
    <t>https://www.accessengineeringlibrary.com/content/video/V2630022187001</t>
  </si>
  <si>
    <t>Schaum's Physics Supplementary Problem 9-26: Center of Mass</t>
  </si>
  <si>
    <t>Physics | Centers of mass | Mass</t>
  </si>
  <si>
    <t>https://www.accessengineeringlibrary.com/content/video/V2630022188001</t>
  </si>
  <si>
    <t>Schaum's Precalculus Supplementary Problem 10.22</t>
  </si>
  <si>
    <t>https://www.accessengineeringlibrary.com/content/video/V6129542156001</t>
  </si>
  <si>
    <t>Schaum's Precalculus Supplementary Problem 14.42</t>
  </si>
  <si>
    <t>Polynomials | Volume | Volume formulas</t>
  </si>
  <si>
    <t>https://www.accessengineeringlibrary.com/content/video/V6129541763001</t>
  </si>
  <si>
    <t>Schaum's Precalculus Supplementary Problem 15.14</t>
  </si>
  <si>
    <t>Rational functions</t>
  </si>
  <si>
    <t>https://www.accessengineeringlibrary.com/content/video/V6129538875001</t>
  </si>
  <si>
    <t>Schaum's Precalculus Supplementary Problem 16.24</t>
  </si>
  <si>
    <t>Proportions</t>
  </si>
  <si>
    <t>https://www.accessengineeringlibrary.com/content/video/V6129538876001</t>
  </si>
  <si>
    <t>Schaum's Precalculus Supplementary Problem 17.25</t>
  </si>
  <si>
    <t>Exponents</t>
  </si>
  <si>
    <t>https://www.accessengineeringlibrary.com/content/video/V6129544262001</t>
  </si>
  <si>
    <t>Schaum's Precalculus Supplementary Problem 18.21</t>
  </si>
  <si>
    <t>Logarithms</t>
  </si>
  <si>
    <t>https://www.accessengineeringlibrary.com/content/video/V6129543970001</t>
  </si>
  <si>
    <t>Schaum's Precalculus Supplementary Problem 19.19</t>
  </si>
  <si>
    <t>https://www.accessengineeringlibrary.com/content/video/V6129542162001</t>
  </si>
  <si>
    <t>Schaum's Precalculus Supplementary Problem 20.31</t>
  </si>
  <si>
    <t>Sine | Cotangent | Cosine | Cosecant | Trigonometric functions</t>
  </si>
  <si>
    <t>https://www.accessengineeringlibrary.com/content/video/V6129542301001</t>
  </si>
  <si>
    <t>Schaum's Precalculus Supplementary Problem 22.30</t>
  </si>
  <si>
    <t>Trigonometric functions | Sine | Cosine | Tangent | Secant | Cotangent</t>
  </si>
  <si>
    <t>https://www.accessengineeringlibrary.com/content/video/V6129544271001</t>
  </si>
  <si>
    <t>Schaum's Precalculus Supplementary Problem 23.21</t>
  </si>
  <si>
    <t>Sine | Cosine | Secant | Fractions | Tangent | Trigonometric functions</t>
  </si>
  <si>
    <t>https://www.accessengineeringlibrary.com/content/video/V6129542302001</t>
  </si>
  <si>
    <t>Schaum's Precalculus Supplementary Problem 24.24</t>
  </si>
  <si>
    <t>Cosine | Sine | Tangent | Trigonometric functions</t>
  </si>
  <si>
    <t>https://www.accessengineeringlibrary.com/content/video/V6129543975001</t>
  </si>
  <si>
    <t>Schaum's Precalculus Supplementary Problem 25.22</t>
  </si>
  <si>
    <t>Cosine | Sine | Tangent | Trigonometric functions | Trigonometric equations</t>
  </si>
  <si>
    <t>https://www.accessengineeringlibrary.com/content/video/V6129543977001</t>
  </si>
  <si>
    <t>Schaum's Precalculus Supplementary Problem 26.30</t>
  </si>
  <si>
    <t>Law of cosines | Law of sines | Sine | Triangles | Cosine</t>
  </si>
  <si>
    <t>https://www.accessengineeringlibrary.com/content/video/V6129541769001</t>
  </si>
  <si>
    <t>Schaum's Precalculus Supplementary Problem 27.19</t>
  </si>
  <si>
    <t>Sine | Triangles | Law of sines | Cosine | Law of cosines | Vectors</t>
  </si>
  <si>
    <t>https://www.accessengineeringlibrary.com/content/video/V6129544275001</t>
  </si>
  <si>
    <t>Schaum's Precalculus Supplementary Problem 28.16</t>
  </si>
  <si>
    <t>Sine | Cosine</t>
  </si>
  <si>
    <t>https://www.accessengineeringlibrary.com/content/video/V6129544279001</t>
  </si>
  <si>
    <t>Schaum's Precalculus Supplementary Problem 3.13</t>
  </si>
  <si>
    <t>https://www.accessengineeringlibrary.com/content/video/V6129542284001</t>
  </si>
  <si>
    <t>Schaum's Precalculus Supplementary Problem 30.12</t>
  </si>
  <si>
    <t>Linear equations | System of equations | Process time</t>
  </si>
  <si>
    <t>https://www.accessengineeringlibrary.com/content/video/V6129538277001</t>
  </si>
  <si>
    <t>Schaum's Precalculus Supplementary Problem 31.11</t>
  </si>
  <si>
    <t>Matrices</t>
  </si>
  <si>
    <t>https://www.accessengineeringlibrary.com/content/video/V6129543291001</t>
  </si>
  <si>
    <t>Schaum's Precalculus Supplementary Problem 32.11</t>
  </si>
  <si>
    <t>Rational functions | System of equations | Polynomials | Partial fractions</t>
  </si>
  <si>
    <t>https://www.accessengineeringlibrary.com/content/video/V6129541771001</t>
  </si>
  <si>
    <t>Schaum's Precalculus Supplementary Problem 33.12</t>
  </si>
  <si>
    <t>Quadratic equations | System of equations | Nonlinear equations</t>
  </si>
  <si>
    <t>https://www.accessengineeringlibrary.com/content/video/V6129542168001</t>
  </si>
  <si>
    <t>Schaum's Precalculus Supplementary Problem 34.7</t>
  </si>
  <si>
    <t>Scalars | Matrices</t>
  </si>
  <si>
    <t>https://www.accessengineeringlibrary.com/content/video/V6129544278001</t>
  </si>
  <si>
    <t>Schaum's Precalculus Supplementary Problem 35.23</t>
  </si>
  <si>
    <t>https://www.accessengineeringlibrary.com/content/video/V6129543983001</t>
  </si>
  <si>
    <t>Schaum's Precalculus Supplementary Problem 36.20</t>
  </si>
  <si>
    <t>System of equations | Linear systems | Linear equations | Matrices | Coefficient matrices</t>
  </si>
  <si>
    <t>https://www.accessengineeringlibrary.com/content/video/V6129541770001</t>
  </si>
  <si>
    <t>Schaum's Precalculus Supplementary Problem 38.20</t>
  </si>
  <si>
    <t>Ellipses | System of equations</t>
  </si>
  <si>
    <t>https://www.accessengineeringlibrary.com/content/video/V6129542080001</t>
  </si>
  <si>
    <t>Schaum's Precalculus Supplementary Problem 4.20</t>
  </si>
  <si>
    <t>Fractions | Radicals</t>
  </si>
  <si>
    <t>https://www.accessengineeringlibrary.com/content/video/V6129539807001</t>
  </si>
  <si>
    <t>Schaum's Precalculus Supplementary Problem 44.16</t>
  </si>
  <si>
    <t>https://www.accessengineeringlibrary.com/content/video/V6129543984001</t>
  </si>
  <si>
    <t>Schaum's Precalculus Supplementary Problem 45.27</t>
  </si>
  <si>
    <t>Tangent | Derivatives | Exponents | Mathematical functions</t>
  </si>
  <si>
    <t>https://www.accessengineeringlibrary.com/content/video/V6129542169001</t>
  </si>
  <si>
    <t>Schaum's Precalculus Supplementary Problem 6.15</t>
  </si>
  <si>
    <t>Inequalities</t>
  </si>
  <si>
    <t>https://www.accessengineeringlibrary.com/content/video/V6129543959001</t>
  </si>
  <si>
    <t>Schaum's Precalculus Supplementary Problem 8.28</t>
  </si>
  <si>
    <t>https://www.accessengineeringlibrary.com/content/video/V6129542286001</t>
  </si>
  <si>
    <t>Schaum's Precalculus Supplementary Problem 9.33</t>
  </si>
  <si>
    <t>Fractions | Mathematical functions</t>
  </si>
  <si>
    <t>https://www.accessengineeringlibrary.com/content/video/V6129542154001</t>
  </si>
  <si>
    <t>Schaum's Probability &amp;  Statistics Supplementary Problem 1.63 Video Solution</t>
  </si>
  <si>
    <t>Craig G. Downing, Department Head and Associate Professor of Engineering Management, Rose-Hulman Institute of Technology</t>
  </si>
  <si>
    <t>Probability | Statistics | Algebra | Statistical values | Quadratic equations | Polynomials</t>
  </si>
  <si>
    <t>https://www.accessengineeringlibrary.com/content/video/V1902367037001</t>
  </si>
  <si>
    <t>Schaum's Probability &amp;  Statistics Supplementary Problem 10.34 Video Solution</t>
  </si>
  <si>
    <t>Statistics | Probability | Hypothesis testing | Mean | Variance | Standard deviation</t>
  </si>
  <si>
    <t>https://www.accessengineeringlibrary.com/content/video/V1902367026001</t>
  </si>
  <si>
    <t>Schaum's Probability &amp;  Statistics Supplementary Problem 2.47 Video Solution</t>
  </si>
  <si>
    <t>Statistics | Probability | Probability density function | Integrals | Area allowance</t>
  </si>
  <si>
    <t>https://www.accessengineeringlibrary.com/content/video/V1902367035001</t>
  </si>
  <si>
    <t>Schaum's Probability &amp;  Statistics Supplementary Problem 3.52 Video Solution</t>
  </si>
  <si>
    <t>Statistics | Probability | Probability density function</t>
  </si>
  <si>
    <t>https://www.accessengineeringlibrary.com/content/video/V1902367033001</t>
  </si>
  <si>
    <t>Schaum's Probability &amp;  Statistics Supplementary Problem 3.53 Video Solution</t>
  </si>
  <si>
    <t>Statistics | Probability</t>
  </si>
  <si>
    <t>https://www.accessengineeringlibrary.com/content/video/V1902329129001</t>
  </si>
  <si>
    <t>Schaum's Probability &amp;  Statistics Supplementary Problem 5.51 Video Solution</t>
  </si>
  <si>
    <t>Statistics | Probability | Standard deviation | Mean | Normal distribution | Bearings</t>
  </si>
  <si>
    <t>https://www.accessengineeringlibrary.com/content/video/V1902367031001</t>
  </si>
  <si>
    <t>Schaum's Probability &amp;  Statistics Supplementary Problem 7.84 Video Solution</t>
  </si>
  <si>
    <t>Statistics | Probability | Chi-squared distribution | Standard deviation | Hypothesis testing | Variance</t>
  </si>
  <si>
    <t>https://www.accessengineeringlibrary.com/content/video/V1902354932001</t>
  </si>
  <si>
    <t>Schaum's Probability &amp;  Statistics Supplementary Problem 9.24 Video Solution</t>
  </si>
  <si>
    <t>Statistics | Probability | Null hypothesis | Mean | Analysis of variance | Hypothesis testing</t>
  </si>
  <si>
    <t>https://www.accessengineeringlibrary.com/content/video/V1902354931001</t>
  </si>
  <si>
    <t>Schaum's Probability &amp; Statistics Supplementary Problem 1.52 Video Solution</t>
  </si>
  <si>
    <t>Probability | Statistics</t>
  </si>
  <si>
    <t>https://www.accessengineeringlibrary.com/content/video/V1902354941001</t>
  </si>
  <si>
    <t>Schaum's Probability &amp; Statistics Supplementary Problem 1.83 Video Solution</t>
  </si>
  <si>
    <t>Probability | Statistics | Algebra</t>
  </si>
  <si>
    <t>https://www.accessengineeringlibrary.com/content/video/V1902329134001</t>
  </si>
  <si>
    <t>Schaum's Probability &amp; Statistics Supplementary Problem 1.90 Video Solution</t>
  </si>
  <si>
    <t>Probability | Statistics | Quadratic equations | Polynomials</t>
  </si>
  <si>
    <t>https://www.accessengineeringlibrary.com/content/video/V1902354939001</t>
  </si>
  <si>
    <t>Schaum's Probability &amp; Statistics Supplementary Problem 2.56 Video Solution</t>
  </si>
  <si>
    <t>Probability | Statistics | Probability density function | Algebra</t>
  </si>
  <si>
    <t>https://www.accessengineeringlibrary.com/content/video/V1902329131001</t>
  </si>
  <si>
    <t>Schaum's Probability &amp; Statistics Supplementary Problem 3.75 Video Solution</t>
  </si>
  <si>
    <t>Statistics | Probability | Integrals | Variance | Probability density function</t>
  </si>
  <si>
    <t>https://www.accessengineeringlibrary.com/content/video/V1902367032001</t>
  </si>
  <si>
    <t>Schaum's Probability &amp; Statistics Supplementary Problem 4.87 Video Solution</t>
  </si>
  <si>
    <t>Probability | Statistics | Binomial distributions | Mean</t>
  </si>
  <si>
    <t>https://www.accessengineeringlibrary.com/content/video/V1902329127001</t>
  </si>
  <si>
    <t>Schaum's Probability &amp; Statistics Supplementary Problem 4.92 Video Solution</t>
  </si>
  <si>
    <t>Probability | Statistics | Binomial distributions | Marble</t>
  </si>
  <si>
    <t>https://www.accessengineeringlibrary.com/content/video/V1902354934001</t>
  </si>
  <si>
    <t>Schaum's Probability &amp; Statistics Supplementary Problem 5.54 Video Solution</t>
  </si>
  <si>
    <t>Probability | Statistics | Normal distribution | Mean | Standard deviation | Manufacturing</t>
  </si>
  <si>
    <t>https://www.accessengineeringlibrary.com/content/video/V1902329126001</t>
  </si>
  <si>
    <t>Schaum's Probability &amp; Statistics Supplementary Problem 6.43 Video Solution</t>
  </si>
  <si>
    <t>Statistics | Probability | Confidence intervals | Mean | Standard deviation | Normal distribution</t>
  </si>
  <si>
    <t>https://www.accessengineeringlibrary.com/content/video/V1902354933001</t>
  </si>
  <si>
    <t>Schaum's Probability &amp; Statistics Supplementary Problem 6.46 Video Solution</t>
  </si>
  <si>
    <t>Statistics | Probability | Confidence intervals | Standard deviation</t>
  </si>
  <si>
    <t>https://www.accessengineeringlibrary.com/content/video/V1902367030001</t>
  </si>
  <si>
    <t>Schaum's Probability &amp; Statistics Supplementary Problem 7.77 Video Solution</t>
  </si>
  <si>
    <t>Statistics | Probability | Mean | Hypothesis testing | Null hypothesis | Electricity</t>
  </si>
  <si>
    <t>https://www.accessengineeringlibrary.com/content/video/V1902329124001</t>
  </si>
  <si>
    <t>Schaum's Probability &amp; Statistics Supplementary Problem 8.64/8.65 Video Solution</t>
  </si>
  <si>
    <t>Statistics | Probability | Equation of a line | Scattering | Graphical data</t>
  </si>
  <si>
    <t>https://www.accessengineeringlibrary.com/content/video/V1902367029001</t>
  </si>
  <si>
    <t>Schaum's Probability, Random Variables, and Random Processes Supplementary Problem 1.85</t>
  </si>
  <si>
    <t>David Rader, Professor, Professor of Mathematics, Rose-Hulman Institute of Technology</t>
  </si>
  <si>
    <t>Probability</t>
  </si>
  <si>
    <t>https://www.accessengineeringlibrary.com/content/video/V6166712201001</t>
  </si>
  <si>
    <t>Schaum's Probability, Random Variables, and Random Processes Supplementary Problem 1.99</t>
  </si>
  <si>
    <t>https://www.accessengineeringlibrary.com/content/video/V6166713991001</t>
  </si>
  <si>
    <t>Schaum's Probability, Random Variables, and Random Processes Supplementary Problem 10.50</t>
  </si>
  <si>
    <t>https://www.accessengineeringlibrary.com/content/video/V6166714184001</t>
  </si>
  <si>
    <t>Schaum's Probability, Random Variables, and Random Processes Supplementary Problem 10.58</t>
  </si>
  <si>
    <t>Entropy | Derivatives | Probability density function | Calculus | Probability</t>
  </si>
  <si>
    <t>https://www.accessengineeringlibrary.com/content/video/V6166712103001</t>
  </si>
  <si>
    <t>Schaum's Probability, Random Variables, and Random Processes Supplementary Problem 2.63</t>
  </si>
  <si>
    <t>Geometric series | Probability</t>
  </si>
  <si>
    <t>https://www.accessengineeringlibrary.com/content/video/V6166714086001</t>
  </si>
  <si>
    <t>Schaum's Probability, Random Variables, and Random Processes Supplementary Problem 2.67</t>
  </si>
  <si>
    <t>https://www.accessengineeringlibrary.com/content/video/V6166713992001</t>
  </si>
  <si>
    <t>Schaum's Probability, Random Variables, and Random Processes Supplementary Problem 2.70</t>
  </si>
  <si>
    <t>Cumulative distribution functions | Probability density function | Integrals | Improper integrals | Probability</t>
  </si>
  <si>
    <t>https://www.accessengineeringlibrary.com/content/video/V6166712202001</t>
  </si>
  <si>
    <t>Schaum's Probability, Random Variables, and Random Processes Supplementary Problem 2.76</t>
  </si>
  <si>
    <t>Defects | Time to failure | Mean | Manufacturing | Probability</t>
  </si>
  <si>
    <t>https://www.accessengineeringlibrary.com/content/video/V6166714186001</t>
  </si>
  <si>
    <t>Schaum's Probability, Random Variables, and Random Processes Supplementary Problem 3.57</t>
  </si>
  <si>
    <t>https://www.accessengineeringlibrary.com/content/video/V6166714185001</t>
  </si>
  <si>
    <t>Schaum's Probability, Random Variables, and Random Processes Supplementary Problem 3.58</t>
  </si>
  <si>
    <t>Probability density function | Probability | Integrals</t>
  </si>
  <si>
    <t>https://www.accessengineeringlibrary.com/content/video/V6166712104001</t>
  </si>
  <si>
    <t>Schaum's Probability, Random Variables, and Random Processes Supplementary Problem 3.61</t>
  </si>
  <si>
    <t>Probability density function | Mean | Probability</t>
  </si>
  <si>
    <t>https://www.accessengineeringlibrary.com/content/video/V6166713993001</t>
  </si>
  <si>
    <t>Schaum's Probability, Random Variables, and Random Processes Supplementary Problem 3.64</t>
  </si>
  <si>
    <t>Probability density function | Cumulative distribution functions | Integrals | Probability</t>
  </si>
  <si>
    <t>https://www.accessengineeringlibrary.com/content/video/V6166712105001</t>
  </si>
  <si>
    <t>Schaum's Probability, Random Variables, and Random Processes Supplementary Problem 4.91</t>
  </si>
  <si>
    <t>Probability density function | Integrals | Mean | Probability</t>
  </si>
  <si>
    <t>https://www.accessengineeringlibrary.com/content/video/V6166712100001</t>
  </si>
  <si>
    <t>Schaum's Probability, Random Variables, and Random Processes Supplementary Problem 4.94</t>
  </si>
  <si>
    <t>https://www.accessengineeringlibrary.com/content/video/V6166713988001</t>
  </si>
  <si>
    <t>Schaum's Probability, Random Variables, and Random Processes Supplementary Problem 4.97</t>
  </si>
  <si>
    <t>Real numbers | Infinite series | Geometric series | Probability</t>
  </si>
  <si>
    <t>https://www.accessengineeringlibrary.com/content/video/V6166713987001</t>
  </si>
  <si>
    <t>Schaum's Probability, Random Variables, and Random Processes Supplementary Problem 5.100</t>
  </si>
  <si>
    <t>Mean | Probability</t>
  </si>
  <si>
    <t>https://www.accessengineeringlibrary.com/content/video/V6166712199001</t>
  </si>
  <si>
    <t>Schaum's Probability, Random Variables, and Random Processes Supplementary Problem 5.95</t>
  </si>
  <si>
    <t>System of equations | Matrices | Linear systems | Coefficient matrices | Algebra | Probability</t>
  </si>
  <si>
    <t>https://www.accessengineeringlibrary.com/content/video/V6166714181001</t>
  </si>
  <si>
    <t>Schaum's Probability, Random Variables, and Random Processes Supplementary Problem 7.25</t>
  </si>
  <si>
    <t>Variance | Mean | Probability</t>
  </si>
  <si>
    <t>https://www.accessengineeringlibrary.com/content/video/V6166712101001</t>
  </si>
  <si>
    <t>Schaum's Probability, Random Variables, and Random Processes Supplementary Problem 8.18</t>
  </si>
  <si>
    <t>Mean | Probability | Standard deviation | Variance | Null hypothesis</t>
  </si>
  <si>
    <t>https://www.accessengineeringlibrary.com/content/video/V6166714084001</t>
  </si>
  <si>
    <t>Schaum's Probability, Random Variables, and Random Processes Supplementary Problem 8.20</t>
  </si>
  <si>
    <t>Probability density function | Variance | Mean | Probability</t>
  </si>
  <si>
    <t>https://www.accessengineeringlibrary.com/content/video/V6166714182001</t>
  </si>
  <si>
    <t>Schaum's Probability, Random Variables, and Random Processes Supplementary Problem 9.22</t>
  </si>
  <si>
    <t>https://www.accessengineeringlibrary.com/content/video/V6166712102001</t>
  </si>
  <si>
    <t>Schaum's Probability, Random Variables, and Random Processes Supplementary Problem 9.23</t>
  </si>
  <si>
    <t>https://www.accessengineeringlibrary.com/content/video/V6166712200001</t>
  </si>
  <si>
    <t>Schaum's Signals and Systems Problem 1.1: Continous-time Signal Transformations using MATLAB</t>
  </si>
  <si>
    <t>Signals and systems | Matlab | Signal compression | Slate | Signal analysis</t>
  </si>
  <si>
    <t>https://www.accessengineeringlibrary.com/content/video/V6126356795001</t>
  </si>
  <si>
    <t>Schaum's Signals and Systems Problem 1.16cd: Finding periodic continuous-time signals using MATLAB</t>
  </si>
  <si>
    <t>Signals and systems | Matlab | Sine | Cosine | Workspaces</t>
  </si>
  <si>
    <t>https://www.accessengineeringlibrary.com/content/video/V6126366698001</t>
  </si>
  <si>
    <t>Schaum's Signals and Systems Problem 1.16gh: Finding periodic discrete-time signals using MATLAB</t>
  </si>
  <si>
    <t>Signals and systems | Discrete time signal processing | Matlab | Cosine | Workspaces</t>
  </si>
  <si>
    <t>https://www.accessengineeringlibrary.com/content/video/V6126366440001</t>
  </si>
  <si>
    <t>Schaum's Signals and Systems Problem 1.2: Discrete-time signal transformations using MATLAB</t>
  </si>
  <si>
    <t>Signals and systems | Matlab | Discrete time signal processing | Signal compression | Signal analysis</t>
  </si>
  <si>
    <t>https://www.accessengineeringlibrary.com/content/video/V6126365704001</t>
  </si>
  <si>
    <t>Schaum's Signals and Systems Problem 1.20: Finding energy and power signals using MATLAB</t>
  </si>
  <si>
    <t>Signals and systems | Matlab | Signal analysis | Cosine | Analog signal processing | Sequences and series</t>
  </si>
  <si>
    <t>https://www.accessengineeringlibrary.com/content/video/V6126366448001</t>
  </si>
  <si>
    <t>Schaum's Signals and Systems Problem 1.5: Creating even and odd signals using MATLAB</t>
  </si>
  <si>
    <t>Signals and systems | Matlab | Discrete time signal processing | Analog signal processing | Signal analysis | Slate</t>
  </si>
  <si>
    <t>https://www.accessengineeringlibrary.com/content/video/V6126363828001</t>
  </si>
  <si>
    <t>Schaum's Signals and Systems Problem 2.24: Finding the step and impulse response of a differential equation using MATLAB</t>
  </si>
  <si>
    <t>Signals and systems | Differential equations | Impulse response | Matlab | Laplace transform | Step response</t>
  </si>
  <si>
    <t>https://www.accessengineeringlibrary.com/content/video/V6126363834001</t>
  </si>
  <si>
    <t>Schaum's Signals and Systems Problem 2.30: Using MATLAB to find the discrete-time convolution</t>
  </si>
  <si>
    <t>Signals and systems | Discrete-time convolution | Matlab | Linear time invariant systems | Convolution | Workspaces</t>
  </si>
  <si>
    <t>https://www.accessengineeringlibrary.com/content/video/V6126366458001</t>
  </si>
  <si>
    <t>Schaum's Signals and Systems Problem 2.32: Using MATLAB to find the impulse response of a difference equation</t>
  </si>
  <si>
    <t>Signals and systems | Matlab | Impulse response | Step response | Discrete time systems | Linear time invariant systems</t>
  </si>
  <si>
    <t>https://www.accessengineeringlibrary.com/content/video/V6126367116001</t>
  </si>
  <si>
    <t>Schaum's Signals and Systems Problem 2.5: Finding a convolution in MATLAB</t>
  </si>
  <si>
    <t>Signals and systems | Matlab | Convolution | Continuous-time convolution | Linear time invariant systems | Discrete-time convolution</t>
  </si>
  <si>
    <t>https://www.accessengineeringlibrary.com/content/video/V6126368004001</t>
  </si>
  <si>
    <t>Schaum's Signals and Systems Problem 3.43: Finding Laplace transforms in MATLAB</t>
  </si>
  <si>
    <t>Laplace transform | Signals and systems | Matlab | Sine | Cosine | Workspaces</t>
  </si>
  <si>
    <t>https://www.accessengineeringlibrary.com/content/video/V6126368455001</t>
  </si>
  <si>
    <t>Schaum's Signals and Systems Problem 3.49: Finding inverse Laplace transforms in MATLAB</t>
  </si>
  <si>
    <t>Inverse Laplace transforms | Signals and systems | Matlab | Sine | Partial fractions | Cosine</t>
  </si>
  <si>
    <t>https://www.accessengineeringlibrary.com/content/video/V6126367121001</t>
  </si>
  <si>
    <t>Schaum's Signals and Systems Problem 4.41: Finding z-transforms in MATLAB</t>
  </si>
  <si>
    <t>Signals and systems | Matlab | z Transform | Workspaces | Impulse function</t>
  </si>
  <si>
    <t>https://www.accessengineeringlibrary.com/content/video/V6126365868001</t>
  </si>
  <si>
    <t>Schaum's Signals and Systems Problem 4.53: Finding inverse z-transforms in MATLAB</t>
  </si>
  <si>
    <t>Signals and systems | Matlab | z Transform | Partial fractions | Convolution</t>
  </si>
  <si>
    <t>https://www.accessengineeringlibrary.com/content/video/V6126363039001</t>
  </si>
  <si>
    <t>Schaum's Signals and Systems Problem 5.10a: Using MATLAB to find the continuous-time Fourier series coefficients</t>
  </si>
  <si>
    <t>Fourier series | Signals and systems | Fourier coefficients | Matlab | Harmonics | Workspaces</t>
  </si>
  <si>
    <t>https://www.accessengineeringlibrary.com/content/video/V6126359823001</t>
  </si>
  <si>
    <t>Schaum's Signals and Systems Problem 5.10b: Using MATLAB to find the continuous-time Fourier series approximation</t>
  </si>
  <si>
    <t>Fourier series | Signals and systems | Matlab | Harmonics | Sine | Workspaces</t>
  </si>
  <si>
    <t>https://www.accessengineeringlibrary.com/content/video/V6126362626001</t>
  </si>
  <si>
    <t>Schaum's Signals and Systems Problem 5.23: Finding the Fourier transform in MATLAB</t>
  </si>
  <si>
    <t>Signals and systems | Matlab | Fourier transform | Inverse Fourier transforms | Impulse function | Cosine</t>
  </si>
  <si>
    <t>https://www.accessengineeringlibrary.com/content/video/V6126367132001</t>
  </si>
  <si>
    <t>Schaum's Signals and Systems Problem 5.69: Finding the inverse Fourier transform of a continuous-time signal in MATLAB</t>
  </si>
  <si>
    <t>Signals and systems | Matlab | Inverse Fourier transforms | Fourier transform | Workspaces | Magnitude phase plot</t>
  </si>
  <si>
    <t>https://www.accessengineeringlibrary.com/content/video/V6126362631001</t>
  </si>
  <si>
    <t>Schaum's Signals and Systems Problem 6.62: Using MATLAB to find a discrete-time Fourier series</t>
  </si>
  <si>
    <t>Signals and systems | Fourier series | Matlab | Cosine | Sine | Harmonics</t>
  </si>
  <si>
    <t>https://www.accessengineeringlibrary.com/content/video/V6126363047001</t>
  </si>
  <si>
    <t>Schaum's Signals and Systems Problem 6.65: Using MATLAB to find the discrete-time Fourier transform</t>
  </si>
  <si>
    <t>Signals and systems | Matlab | Discrete time Fourier transforms | Fourier transform | z Transform | Discrete Fourier transforms</t>
  </si>
  <si>
    <t>https://www.accessengineeringlibrary.com/content/video/V6126362634001</t>
  </si>
  <si>
    <t>Schaum's Signals and Systems Problem 6.67: Using MATLAB to find the discrete-time inverse Fourier transform</t>
  </si>
  <si>
    <t>Signals and systems | Inverse Fourier transforms | Matlab | Cosine | Fourier transform | Workspaces</t>
  </si>
  <si>
    <t>https://www.accessengineeringlibrary.com/content/video/V6126368475001</t>
  </si>
  <si>
    <t>Schaum's Signals and Systems Problem 7.62: Determining discrete-time controllability and observability in MATLAB</t>
  </si>
  <si>
    <t>Signals and systems | Matlab | State space representation | Discrete time systems | Control system controllability | Workspaces</t>
  </si>
  <si>
    <t>https://www.accessengineeringlibrary.com/content/video/V6126363057001</t>
  </si>
  <si>
    <t>Schaum's Signals and Systems Problem 7.74: Determining continuous-time controllability and observability in MATLAB</t>
  </si>
  <si>
    <t>Signals and systems | Matlab | Continuous time systems | State space representation | Control system controllability | Eigenvectors</t>
  </si>
  <si>
    <t>https://www.accessengineeringlibrary.com/content/video/V6126363058001</t>
  </si>
  <si>
    <t>Schaum's Signals and Systems Supplementary Problem 1.46: Unit Step Functions Example</t>
  </si>
  <si>
    <t>Schaum's Outline of Signals and Systems, Third Edition|Schaum's Outline of Signals and Systems, Fourth Edition</t>
  </si>
  <si>
    <t>Signals and systems | Step function | Amplitude | Ramp function | Analog signal processing</t>
  </si>
  <si>
    <t>https://www.accessengineeringlibrary.com/content/video/V2929150800001</t>
  </si>
  <si>
    <t>Schaum's Signals and Systems Supplementary Problem 1.56: System Properties Example 1</t>
  </si>
  <si>
    <t>Signals and systems | Linear time invariant systems | Time shift | Time invariant systems | Systems integration | Linear systems</t>
  </si>
  <si>
    <t>https://www.accessengineeringlibrary.com/content/video/V2929150801001</t>
  </si>
  <si>
    <t>Schaum's Signals and Systems Supplementary Problem 1.61: System Properties Example 2</t>
  </si>
  <si>
    <t>Signals and systems | Discrete time signal processing | Parabolas | Discrete time systems | Continuous time systems</t>
  </si>
  <si>
    <t>https://www.accessengineeringlibrary.com/content/video/V2929150802001</t>
  </si>
  <si>
    <t>Schaum's Signals and Systems Supplementary Problem 2.46: Convolution Example</t>
  </si>
  <si>
    <t>Signals and systems | Convolution | Integrals | Amplitude | Continuous-time convolution | Triangles</t>
  </si>
  <si>
    <t>https://www.accessengineeringlibrary.com/content/video/V2929150798001</t>
  </si>
  <si>
    <t>Schaum's Signals and Systems Supplementary Problem 2.58: RLC Circuit Example</t>
  </si>
  <si>
    <t>Signals and systems | RLC circuits | Differential equations | Derivatives | Input voltage | Voltage</t>
  </si>
  <si>
    <t>https://www.accessengineeringlibrary.com/content/video/V2929150803001</t>
  </si>
  <si>
    <t>Schaum's Signals and Systems Supplementary Problem 2.64: Discrete-time system Example</t>
  </si>
  <si>
    <t>Signals and systems | Discrete time systems | Homogeneous equations</t>
  </si>
  <si>
    <t>https://www.accessengineeringlibrary.com/content/video/V2929150804001</t>
  </si>
  <si>
    <t>Schaum's Signals and Systems Supplementary Problem 3.43: Laplace Transforms</t>
  </si>
  <si>
    <t>Signals and systems | Laplace transform | Sine | Cosine | Integrals | Analog signal processing</t>
  </si>
  <si>
    <t>https://www.accessengineeringlibrary.com/content/video/V2929150805001</t>
  </si>
  <si>
    <t>Schaum's Signals and Systems Supplementary Problem 3.49: Inverse Laplace Transforms</t>
  </si>
  <si>
    <t>Signals and systems | Inverse Laplace transforms | Sine | Cosine | Rational functions | Laplace transform</t>
  </si>
  <si>
    <t>https://www.accessengineeringlibrary.com/content/video/V2929150806001</t>
  </si>
  <si>
    <t>Schaum's Signals and Systems Supplementary Problem 3.55: Transfer Functions Example 1</t>
  </si>
  <si>
    <t>Signals and systems | Transfer functions | Algebra</t>
  </si>
  <si>
    <t>https://www.accessengineeringlibrary.com/content/video/V2929150807001</t>
  </si>
  <si>
    <t>Schaum's Signals and Systems Supplementary Problem 4.48: z-Transforms</t>
  </si>
  <si>
    <t>Signals and systems | z Transform | Rational functions | Discrete time signal processing | Discrete time systems</t>
  </si>
  <si>
    <t>https://www.accessengineeringlibrary.com/content/video/V2929150808001</t>
  </si>
  <si>
    <t>Schaum's Signals and Systems Supplementary Problem 4.53/4.54: Inverse z-Transforms</t>
  </si>
  <si>
    <t>Signals and systems | z Transform | Discrete time signal processing | Rational functions | Power series | Polynomials</t>
  </si>
  <si>
    <t>https://www.accessengineeringlibrary.com/content/video/V2929150809001</t>
  </si>
  <si>
    <t>Schaum's Signals and Systems Supplementary Problem 4.56: Transfer Functions Example 2</t>
  </si>
  <si>
    <t>Signals and systems | z Transform | Frequency domains | Discrete time systems | Discrete time signal processing | System of equations</t>
  </si>
  <si>
    <t>https://www.accessengineeringlibrary.com/content/video/V2929150810001</t>
  </si>
  <si>
    <t>Schaum's Signals and Systems Supplementary Problem 5.61: Fourier Series</t>
  </si>
  <si>
    <t>Signals and systems | Fourier series | Sine | Cosine | Integrals | Analog signal processing</t>
  </si>
  <si>
    <t>https://www.accessengineeringlibrary.com/content/video/V2929150811001</t>
  </si>
  <si>
    <t>Schaum's Signals and Systems Supplementary Problem 5.67/5.69: Fourier Transforms</t>
  </si>
  <si>
    <t>Signals and systems | Fourier transform | Inverse Fourier transforms | Linear equations | Amplitude | Sine</t>
  </si>
  <si>
    <t>https://www.accessengineeringlibrary.com/content/video/V2929150812001</t>
  </si>
  <si>
    <t>Schaum's Signals and Systems Supplementary Problem 5.75: RC Filters</t>
  </si>
  <si>
    <t>Signals and systems | Electronic filters | Frequency response | Fourier transform | Differential equations | Derivatives</t>
  </si>
  <si>
    <t>https://www.accessengineeringlibrary.com/content/video/V2929150813001</t>
  </si>
  <si>
    <t>Schaum's Signals and Systems Supplementary Problem 6.62: Discrete Fourier Series</t>
  </si>
  <si>
    <t>Signals and systems | Fourier series | Sine | Cosine | Sequences and series</t>
  </si>
  <si>
    <t>https://www.accessengineeringlibrary.com/content/video/V2929150814001</t>
  </si>
  <si>
    <t>Schaum's Signals and Systems Supplementary Problem 6.71: Frequency and Impulse Response of a Discrete-Time System</t>
  </si>
  <si>
    <t>Signals and systems | Frequency response | Impulse response | Discrete time systems | Causal systems | Linear time invariant systems</t>
  </si>
  <si>
    <t>https://www.accessengineeringlibrary.com/content/video/V2929150815001</t>
  </si>
  <si>
    <t>Schaum's Signals and Systems Supplementary Problem 7.65: State Space Representation</t>
  </si>
  <si>
    <t>Signals and systems | State space representation | Voltage | Capacitors | Kirchhoff's voltage law | Inductors</t>
  </si>
  <si>
    <t>https://www.accessengineeringlibrary.com/content/video/V2929150816001</t>
  </si>
  <si>
    <t>Schaum's Signals and Systems Supplementary Problem 7.68: Asymptotically Stable System</t>
  </si>
  <si>
    <t>Signals and systems | State space representation | Matrices | Eigenvalues | Linear time invariant systems</t>
  </si>
  <si>
    <t>https://www.accessengineeringlibrary.com/content/video/V2929150799001</t>
  </si>
  <si>
    <t>Schaum's Signals and Systems Supplementary Problem 7.73: State Space Method</t>
  </si>
  <si>
    <t>Signals and systems | State space representation | Linear differential equations | Derivatives | State transition matrix | Inverse Laplace transforms</t>
  </si>
  <si>
    <t>https://www.accessengineeringlibrary.com/content/video/V2929150817001</t>
  </si>
  <si>
    <t>Schaum's Statics Supplementary Problem 1.22: Coplanar Forces</t>
  </si>
  <si>
    <t>Mechanical engineering | Sine | Cosine | Coplanar forces | Tangent | Statics</t>
  </si>
  <si>
    <t>https://www.accessengineeringlibrary.com/content/video/V6224898164001</t>
  </si>
  <si>
    <t>Schaum's Statics Supplementary Problem 1.34: Unit Vectors</t>
  </si>
  <si>
    <t>Unit vectors | Mechanical engineering | Position vectors | Vectors | Statics</t>
  </si>
  <si>
    <t>https://www.accessengineeringlibrary.com/content/video/V6224888003001</t>
  </si>
  <si>
    <t>Schaum's Statics Supplementary Problem 1.50: Cross Products</t>
  </si>
  <si>
    <t>Mechanical engineering | Cross product | Statics</t>
  </si>
  <si>
    <t>https://www.accessengineeringlibrary.com/content/video/V6224878438001</t>
  </si>
  <si>
    <t>Schaum's Statics Supplementary Problem 11.57: Area Centroids</t>
  </si>
  <si>
    <t>Centers of mass | Mechanical engineering | Area formulas | Geometric centroid | Statics</t>
  </si>
  <si>
    <t>https://www.accessengineeringlibrary.com/content/video/V6224931349001</t>
  </si>
  <si>
    <t>Schaum's Statics Supplementary Problem 11.96: Volume of Revolution</t>
  </si>
  <si>
    <t>Mechanical engineering | Volume | Centers of mass | Tangent | Sine | Statics</t>
  </si>
  <si>
    <t>https://www.accessengineeringlibrary.com/content/video/V6224884687001</t>
  </si>
  <si>
    <t>Schaum's Statics Supplementary Problem 2.16: Moments</t>
  </si>
  <si>
    <t>Mechanical engineering | Unit vectors | Position vectors | Scalars | Cross product | Statics</t>
  </si>
  <si>
    <t>https://www.accessengineeringlibrary.com/content/video/V6224876677001</t>
  </si>
  <si>
    <t>Schaum's Statics Supplementary Problem 2.26: Resultants</t>
  </si>
  <si>
    <t>Mechanical engineering | Pythagorean theorem | Torque | Statics</t>
  </si>
  <si>
    <t>https://www.accessengineeringlibrary.com/content/video/V6224888114001</t>
  </si>
  <si>
    <t>Schaum's Statics Supplementary Problem 3.21: Resultant Components</t>
  </si>
  <si>
    <t>Mechanical engineering | Sine | Cosine | Pythagorean theorem | Statics</t>
  </si>
  <si>
    <t>https://www.accessengineeringlibrary.com/content/video/V6224927340001</t>
  </si>
  <si>
    <t>Schaum's Statics Supplementary Problem 3.41: Resultant Location</t>
  </si>
  <si>
    <t>Mechanical engineering | Tangent | Steel | Mean | Statics</t>
  </si>
  <si>
    <t>https://www.accessengineeringlibrary.com/content/video/V6224927341001</t>
  </si>
  <si>
    <t>Schaum's Statics Supplementary Problem 3.48: Maximum Moment</t>
  </si>
  <si>
    <t>Mechanical engineering | Centers of mass | Spin | Torque | Statics | Moment of inertia</t>
  </si>
  <si>
    <t>https://www.accessengineeringlibrary.com/content/video/V6224931351001</t>
  </si>
  <si>
    <t>Schaum's Statics Supplementary Problem 4.19: Couples</t>
  </si>
  <si>
    <t>Mechanical engineering | Spin | Cosine | Shafts | Statics</t>
  </si>
  <si>
    <t>https://www.accessengineeringlibrary.com/content/video/V6224928523001</t>
  </si>
  <si>
    <t>Schaum's Statics Supplementary Problem 4.8: Concurrent Forces</t>
  </si>
  <si>
    <t>Mechanical engineering | Cosine | Sine | Concurrent forces | Statics</t>
  </si>
  <si>
    <t>https://www.accessengineeringlibrary.com/content/video/V6224930135001</t>
  </si>
  <si>
    <t>Schaum's Statics Supplementary Problem 5.27: Unknown Forces</t>
  </si>
  <si>
    <t>Mechanical engineering | Tension | Sine | Friction | Mechanical springs | Statics</t>
  </si>
  <si>
    <t>https://www.accessengineeringlibrary.com/content/video/V6224878389001</t>
  </si>
  <si>
    <t>Schaum's Statics Supplementary Problem 5.35: Unknown Force</t>
  </si>
  <si>
    <t>Mechanical engineering | Sine | Tension | Static equilibrium | Method of joints | Statics</t>
  </si>
  <si>
    <t>https://www.accessengineeringlibrary.com/content/video/V6224924881001</t>
  </si>
  <si>
    <t>Schaum's Statics Supplementary Problem 5.37: Unknown Force</t>
  </si>
  <si>
    <t>Mechanical engineering | Sine | Cosine | Pythagorean theorem | Significant digits | Statics</t>
  </si>
  <si>
    <t>https://www.accessengineeringlibrary.com/content/video/V6224927184001</t>
  </si>
  <si>
    <t>Schaum's Statics Supplementary Problem 5.43: Beam Reactions</t>
  </si>
  <si>
    <t>Mechanical engineering | Loads | Area measurement | Static equilibrium | Statics | Structural beams</t>
  </si>
  <si>
    <t>https://www.accessengineeringlibrary.com/content/video/V6224928522001</t>
  </si>
  <si>
    <t>Schaum's Statics Supplementary Problem 5.61: Beam Forces</t>
  </si>
  <si>
    <t>Mechanical engineering | Tension | Sine | Cosine | Statics | Structural beams</t>
  </si>
  <si>
    <t>https://www.accessengineeringlibrary.com/content/video/V6224928422001</t>
  </si>
  <si>
    <t>Schaum's Statics Supplementary Problem 6.20: Tripod Analysis</t>
  </si>
  <si>
    <t>Mechanical engineering | Sine | Triangles | Right triangles | Finite element analysis | Statics</t>
  </si>
  <si>
    <t>https://www.accessengineeringlibrary.com/content/video/V6224924784001</t>
  </si>
  <si>
    <t>Schaum's Statics Supplementary Problem 6.22: Unknown Force</t>
  </si>
  <si>
    <t>Mechanical engineering | Sine | Tension | Cosine | Spin | Statics</t>
  </si>
  <si>
    <t>https://www.accessengineeringlibrary.com/content/video/V6224901980001</t>
  </si>
  <si>
    <t>Schaum's Statics Supplementary Problem 7.20: Truss/Joints</t>
  </si>
  <si>
    <t>Mechanical engineering | Trusses | Sine | Tension | Method of joints | Statics</t>
  </si>
  <si>
    <t>https://www.accessengineeringlibrary.com/content/video/V6224903831001</t>
  </si>
  <si>
    <t>Schaum's Statics Supplementary Problem 7.27: Truss/Sections</t>
  </si>
  <si>
    <t>Trusses | Mechanical engineering | Tension | Method of sections | Sine | Statics</t>
  </si>
  <si>
    <t>https://www.accessengineeringlibrary.com/content/video/V6224898344001</t>
  </si>
  <si>
    <t>Schaum's Statics Supplementary Problem 8.6: Cantilever Beams</t>
  </si>
  <si>
    <t>Cantilevers | Mechanical engineering | Centers of mass | Shear force | Statics</t>
  </si>
  <si>
    <t>https://www.accessengineeringlibrary.com/content/video/V6224930117001</t>
  </si>
  <si>
    <t>Schaum's Statics Supplementary Problem 9.24: Leaning Ladder</t>
  </si>
  <si>
    <t>Mechanical engineering | Friction | Cosine | Sine | Static equilibrium | Statics</t>
  </si>
  <si>
    <t>https://www.accessengineeringlibrary.com/content/video/V6224927921001</t>
  </si>
  <si>
    <t>Schaum's Statics Supplementary Problem 9.26: Wedges</t>
  </si>
  <si>
    <t>Mechanical engineering | Friction | Sine | Cosine | Statics</t>
  </si>
  <si>
    <t>https://www.accessengineeringlibrary.com/content/video/V6224936609001</t>
  </si>
  <si>
    <t>Schaum's Statics Supplementary Problem 9.32: Friction</t>
  </si>
  <si>
    <t>Mechanical engineering | Friction | Tension | Mass | Coefficient of friction | Statics</t>
  </si>
  <si>
    <t>https://www.accessengineeringlibrary.com/content/video/V6224903830001</t>
  </si>
  <si>
    <t>Schaum's Statistics Supplementary Problem 10.36: Hypothesis Test for Mean of Population</t>
  </si>
  <si>
    <t>Hypothesis testing | Statistics | Mean | Standard deviation | Normal distribution | Statistical values</t>
  </si>
  <si>
    <t>https://www.accessengineeringlibrary.com/content/video/V6126358686001</t>
  </si>
  <si>
    <t>Schaum's Statistics Supplementary Problem 10.41: p-Values for Hypothesis Tests</t>
  </si>
  <si>
    <t>Statistics | Hypothesis testing | Standard deviation | Normal distribution | Mean</t>
  </si>
  <si>
    <t>https://www.accessengineeringlibrary.com/content/video/V6126357776001</t>
  </si>
  <si>
    <t>Schaum's Statistics Supplementary Problem 10.49: Hypothesis Tests for Difference of Population Means</t>
  </si>
  <si>
    <t>Statistics | Hypothesis testing | Mean | Standard deviation | Normal distribution</t>
  </si>
  <si>
    <t>https://www.accessengineeringlibrary.com/content/video/V6126360839001</t>
  </si>
  <si>
    <t>Schaum's Statistics Supplementary Problem 11.30: t-Test for Population Mean</t>
  </si>
  <si>
    <t>Statistics | Mean | Standard deviation | Hypothesis testing | Statistical values | T tests</t>
  </si>
  <si>
    <t>https://www.accessengineeringlibrary.com/content/video/V6126360842001</t>
  </si>
  <si>
    <t>Schaum's Statistics Supplementary Problem 11.41: Confidence Interval for Population Standard Deviation</t>
  </si>
  <si>
    <t>Statistics | Standard deviation | Confidence intervals | Chi-squared distribution</t>
  </si>
  <si>
    <t>https://www.accessengineeringlibrary.com/content/video/V6126360844001</t>
  </si>
  <si>
    <t>Schaum's Statistics Supplementary Problem 11.52: Hypothesis Test for Difference of Two Population Variances</t>
  </si>
  <si>
    <t>Statistics | Hypothesis testing | F distribution | Variance | F tests</t>
  </si>
  <si>
    <t>https://www.accessengineeringlibrary.com/content/video/V6126358688001</t>
  </si>
  <si>
    <t>Schaum's Statistics Supplementary Problem 12.30: Chi-Squared Test for Goodness of Fit</t>
  </si>
  <si>
    <t>Statistics | Chi-squared distribution | Hypothesis testing</t>
  </si>
  <si>
    <t>https://www.accessengineeringlibrary.com/content/video/V6126360868001</t>
  </si>
  <si>
    <t>Schaum's Statistics Supplementary Problem 13.32: Least-Squares Line</t>
  </si>
  <si>
    <t>Statistics | Regression analysis | System of equations | Method of least squares</t>
  </si>
  <si>
    <t>https://www.accessengineeringlibrary.com/content/video/V6126360187001</t>
  </si>
  <si>
    <t>Schaum's Statistics Supplementary Problem 14.47: Correlation Coefficient</t>
  </si>
  <si>
    <t>Statistics | Correlation | Mean</t>
  </si>
  <si>
    <t>https://www.accessengineeringlibrary.com/content/video/V6126360188001</t>
  </si>
  <si>
    <t>Schaum's Statistics Supplementary Problem 15.29: Least-Squares Regression Equation Involving Three Variables</t>
  </si>
  <si>
    <t>Statistics | Regression analysis | Correlation</t>
  </si>
  <si>
    <t>https://www.accessengineeringlibrary.com/content/video/V6126357792001</t>
  </si>
  <si>
    <t>Schaum's Statistics Supplementary Problem 16.21: One-Way Classification Using Analysis of Variance</t>
  </si>
  <si>
    <t>Statistics | Analysis of variance | Mean | F tests | Design of experiments | Statistical values</t>
  </si>
  <si>
    <t>https://www.accessengineeringlibrary.com/content/video/V6126357670001</t>
  </si>
  <si>
    <t>Schaum's Statistics Supplementary Problem 17.34: Nonparametric Test, Mann-Whitney U-Test for Difference of Two Population Means</t>
  </si>
  <si>
    <t>Statistics | Mean | Hypothesis testing | Statistical values | Probability | Variance</t>
  </si>
  <si>
    <t>https://www.accessengineeringlibrary.com/content/video/V6126356674001</t>
  </si>
  <si>
    <t>Schaum's Statistics Supplementary Problem 3.76: Mean, Median, and Mode</t>
  </si>
  <si>
    <t>Median | Statistics | Mode | Mean</t>
  </si>
  <si>
    <t>https://www.accessengineeringlibrary.com/content/video/V6126307911001</t>
  </si>
  <si>
    <t>Schaum's Statistics Supplementary Problem 4.43: Mean Deviation</t>
  </si>
  <si>
    <t>Mean | Statistics | Median | Mode</t>
  </si>
  <si>
    <t>https://www.accessengineeringlibrary.com/content/video/V6126358640001</t>
  </si>
  <si>
    <t>Schaum's Statistics Supplementary Problem 5.16: Moments about the Mean</t>
  </si>
  <si>
    <t>Statistics | Mean</t>
  </si>
  <si>
    <t>https://www.accessengineeringlibrary.com/content/video/V6126355651001</t>
  </si>
  <si>
    <t>Schaum's Statistics Supplementary Problem 6.53: Probability Distribution of Continuous Random Variable</t>
  </si>
  <si>
    <t>Statistics | Probability distributions | Probability density function | Mean | Probability</t>
  </si>
  <si>
    <t>https://www.accessengineeringlibrary.com/content/video/V6126360142001</t>
  </si>
  <si>
    <t>Schaum's Statistics Supplementary Problem 6.59: Mathematical Expectation of Discrete Random Variable</t>
  </si>
  <si>
    <t>Statistics | Probability | Statistical values | Probability distributions</t>
  </si>
  <si>
    <t>https://www.accessengineeringlibrary.com/content/video/V6126357768001</t>
  </si>
  <si>
    <t>Schaum's Statistics Supplementary Problem 7.40: Binomial Distribution</t>
  </si>
  <si>
    <t>Binomial distributions | Statistics | Probability | Mean</t>
  </si>
  <si>
    <t>https://www.accessengineeringlibrary.com/content/video/V6126359203001</t>
  </si>
  <si>
    <t>Schaum's Statistics Supplementary Problem 7.50: Normal Distribution and Standard Scores</t>
  </si>
  <si>
    <t>Statistics | Normal distribution | Standard deviation | Mean</t>
  </si>
  <si>
    <t>https://www.accessengineeringlibrary.com/content/video/V6126358677001</t>
  </si>
  <si>
    <t>Schaum's Statistics Supplementary Problem 8.26: Sampling Distribution of Means</t>
  </si>
  <si>
    <t>Mean | Statistics | Normal distribution | Probability | Standard deviation</t>
  </si>
  <si>
    <t>https://www.accessengineeringlibrary.com/content/video/V6126356723001</t>
  </si>
  <si>
    <t>Schaum's Statistics Supplementary Problem 8.34: Sampling Distribution of Proportions</t>
  </si>
  <si>
    <t>Statistics | Probability | Standard deviation | Mean | Normal distribution | Proportions</t>
  </si>
  <si>
    <t>https://www.accessengineeringlibrary.com/content/video/V6126359212001</t>
  </si>
  <si>
    <t>Schaum's Statistics Supplementary Problem 8.40: Sampling Distribution of Differences of Means</t>
  </si>
  <si>
    <t>Mean | Statistics | Standard deviation | Probability | Normal distribution</t>
  </si>
  <si>
    <t>https://www.accessengineeringlibrary.com/content/video/V6126358290001</t>
  </si>
  <si>
    <t>Schaum's Statistics Supplementary Problem 9.25: Confidence Interval for the Mean</t>
  </si>
  <si>
    <t>Mean | Statistics | Confidence intervals | Standard deviation</t>
  </si>
  <si>
    <t>https://www.accessengineeringlibrary.com/content/video/V6126361565001</t>
  </si>
  <si>
    <t>Schaum's Statistics Supplementary Problem 9.31: Confidence Interval for a Proportion</t>
  </si>
  <si>
    <t>Statistics | Confidence intervals</t>
  </si>
  <si>
    <t>https://www.accessengineeringlibrary.com/content/video/V6126358685001</t>
  </si>
  <si>
    <t>Schaum's Statistics Supplementary Problem 9.33: Confidence Interval for the Difference of Means</t>
  </si>
  <si>
    <t>https://www.accessengineeringlibrary.com/content/video/V6126360158001</t>
  </si>
  <si>
    <t>Schaum's Strength of Materials Problem 1.34</t>
  </si>
  <si>
    <t>Schaumâ€™s Outline of Strength of Materials, Fifth Edition|Schaum's Outline of Strength of Materials, Seventh Edition</t>
  </si>
  <si>
    <t>Luke S. Lee, Ph.D., P.E., Associate Professor of Civil Engineering, University of the Pacific</t>
  </si>
  <si>
    <t>Deformation | Normal stress | Stress | Brass | Structural steel | Steel</t>
  </si>
  <si>
    <t>https://www.accessengineeringlibrary.com/content/video/V2219503902001</t>
  </si>
  <si>
    <t>Schaum's Strength of Materials Problem 1.35</t>
  </si>
  <si>
    <t>Statically indeterminate beams | Normal stress | Deformation | Axial members | Static equilibrium | Internal force</t>
  </si>
  <si>
    <t>https://www.accessengineeringlibrary.com/content/video/V2219508332001</t>
  </si>
  <si>
    <t>Schaum's Strength of Materials Problem 10.16</t>
  </si>
  <si>
    <t>James M. Pitarresi, Ph.D., Distinguished Teaching Professor and Department Chair, Mechanical Engineering, Binghamton University, State University of New York</t>
  </si>
  <si>
    <t>Elastic modulus | Wood columns | Column buckling | Geometric properties of areas | Elastic buckling | Buckling</t>
  </si>
  <si>
    <t>https://www.accessengineeringlibrary.com/content/video/V2219481724001</t>
  </si>
  <si>
    <t>Schaum's Strength of Materials Problem 10.19</t>
  </si>
  <si>
    <t>Steel | Eulers formula | Stress | Elastic modulus</t>
  </si>
  <si>
    <t>https://www.accessengineeringlibrary.com/content/video/V2219503893001</t>
  </si>
  <si>
    <t>Schaum's Strength of Materials Problem 11.5</t>
  </si>
  <si>
    <t>Safety factors | Mechanical components | Material properties | Axial members | Stress | Design load</t>
  </si>
  <si>
    <t>https://www.accessengineeringlibrary.com/content/video/V2219465500001</t>
  </si>
  <si>
    <t>Schaum's Strength of Materials Problem 11.6</t>
  </si>
  <si>
    <t>Safety factors | Fatigue limits | Yield strength | Beam theory | Stress | Yield stress</t>
  </si>
  <si>
    <t>https://www.accessengineeringlibrary.com/content/video/V2219481723001</t>
  </si>
  <si>
    <t>Schaum's Strength of Materials Problem 2.14</t>
  </si>
  <si>
    <t>Torque | Shear stress | Shafts | Shear force | Static equilibrium | Metals</t>
  </si>
  <si>
    <t>https://www.accessengineeringlibrary.com/content/video/V2219481732001</t>
  </si>
  <si>
    <t>Schaum's Strength of Materials Problem 2.18</t>
  </si>
  <si>
    <t>Metals | Epoxy adhesives | Stress | Shear strength | Shear modulus | Shear force</t>
  </si>
  <si>
    <t>https://www.accessengineeringlibrary.com/content/video/V2219503901001</t>
  </si>
  <si>
    <t>Schaum's Strength of Materials Problem 3.12</t>
  </si>
  <si>
    <t>Maximum shear stress | Axial load | Normal stress | Shear stress | Tension | Stress</t>
  </si>
  <si>
    <t>https://www.accessengineeringlibrary.com/content/video/V2219481731001</t>
  </si>
  <si>
    <t>Schaum's Strength of Materials Problem 3.22</t>
  </si>
  <si>
    <t>Shear stress | Principal stress | Maximum shear stress</t>
  </si>
  <si>
    <t>https://www.accessengineeringlibrary.com/content/video/V2219503900001</t>
  </si>
  <si>
    <t>Schaum's Strength of Materials Problem 4.11</t>
  </si>
  <si>
    <t>Hoop stress | Geometric properties of areas | Yield strength | Stress concentrations | Stress | Pressure vessels</t>
  </si>
  <si>
    <t>https://www.accessengineeringlibrary.com/content/video/V2219481729001</t>
  </si>
  <si>
    <t>Schaum's Strength of Materials Problem 4.15</t>
  </si>
  <si>
    <t>Safety factors | Yield stress | Maximum pressure | Steel</t>
  </si>
  <si>
    <t>https://www.accessengineeringlibrary.com/content/video/V2219503899001</t>
  </si>
  <si>
    <t>Schaum's Strength of Materials Problem 5.22</t>
  </si>
  <si>
    <t>Shafts | Torque | Shear stress | Unit conversion | Circular shafts | Watts</t>
  </si>
  <si>
    <t>https://www.accessengineeringlibrary.com/content/video/V2219465505001</t>
  </si>
  <si>
    <t>Schaum's Strength of Materials Problem 5.24</t>
  </si>
  <si>
    <t>Torque | Static equilibrium | Integrals | Circular shafts | Chemical equilibrium | Calculus</t>
  </si>
  <si>
    <t>https://www.accessengineeringlibrary.com/content/video/V2219481728001</t>
  </si>
  <si>
    <t>Schaum's Strength of Materials Problem 6.16</t>
  </si>
  <si>
    <t>Bending moment diagrams | Bending moment | Shear load | Shear diagrams | Static load | Algebra</t>
  </si>
  <si>
    <t>https://www.accessengineeringlibrary.com/content/video/V2219503897001</t>
  </si>
  <si>
    <t>Schaum's Strength of Materials Problem 6.24</t>
  </si>
  <si>
    <t>Singularity functions | Bending moment | Shear load | Structural beams | Brackets</t>
  </si>
  <si>
    <t>https://www.accessengineeringlibrary.com/content/video/V2219465504001</t>
  </si>
  <si>
    <t>Schaum's Strength of Materials Problem 7.31</t>
  </si>
  <si>
    <t>Compressive stress | Moment of inertia | Shear diagrams | Bending moment diagrams | Centers of mass | Parallel axis theorem</t>
  </si>
  <si>
    <t>https://www.accessengineeringlibrary.com/content/video/V2219481727001</t>
  </si>
  <si>
    <t>Schaum's Strength of Materials Problem 7.34</t>
  </si>
  <si>
    <t>Bending stress | Shear stress | Structural beams | Shear load | Bending moment diagrams | Moment of inertia</t>
  </si>
  <si>
    <t>https://www.accessengineeringlibrary.com/content/video/V2219503895001</t>
  </si>
  <si>
    <t>Schaum's Strength of Materials Problem 8.22</t>
  </si>
  <si>
    <t>Linear equations | Deflection | Algebra | Static load | Triangles | Brackets</t>
  </si>
  <si>
    <t>https://www.accessengineeringlibrary.com/content/video/V2219465502001</t>
  </si>
  <si>
    <t>Schaum's Strength of Materials Problem 8.27</t>
  </si>
  <si>
    <t>Deflection | Brackets | Singularity functions | Cantilever beams</t>
  </si>
  <si>
    <t>https://www.accessengineeringlibrary.com/content/video/V2219481726001</t>
  </si>
  <si>
    <t>Schaum's Strength of Materials Problem 9.15</t>
  </si>
  <si>
    <t>Deflection | Statically indeterminate beams | Singularity functions | Static equilibrium | Algebra</t>
  </si>
  <si>
    <t>https://www.accessengineeringlibrary.com/content/video/V2219503894001</t>
  </si>
  <si>
    <t>Schaum's Strength of Materials Problem 9.17</t>
  </si>
  <si>
    <t>Statically indeterminate beams | Static load | Singularity functions | Static equilibrium | Structural beams | Deformation</t>
  </si>
  <si>
    <t>https://www.accessengineeringlibrary.com/content/video/V2219465501001</t>
  </si>
  <si>
    <t>Schaum's Thermodynamics Supplementary Problem 10-17: Refrigeration Cycle using R134a</t>
  </si>
  <si>
    <t>Schaum's Outline of Thermodynamics for Engineers, Third Edition|Schaum's Outline of Thermodynamics for Engineers, Fourth Edition</t>
  </si>
  <si>
    <t>Refrigeration | Evaporators | Conservation of energy | Ts diagrams | Throttling devices | Refrigeration compressors</t>
  </si>
  <si>
    <t>https://www.accessengineeringlibrary.com/content/video/V2939922926001</t>
  </si>
  <si>
    <t>Schaum's Thermodynamics Supplementary Problem 11-19: Derivation of a Maxwell Relation</t>
  </si>
  <si>
    <t>Maxwell relations | Partial derivatives | Volume | Entropy</t>
  </si>
  <si>
    <t>https://www.accessengineeringlibrary.com/content/video/V2939922927001</t>
  </si>
  <si>
    <t>Schaum's Thermodynamics Supplementary Problem 12-16: Mass Fractions for an Ideal Gas Mixture</t>
  </si>
  <si>
    <t>Mass fraction | Ideal gas law | Nitrogen | Molar mass | Mass | Carbon dioxide</t>
  </si>
  <si>
    <t>https://www.accessengineeringlibrary.com/content/video/V2939922928001</t>
  </si>
  <si>
    <t>Schaum's Thermodynamics Supplementary Problem 12-45: Condensation on a Pair of Eyeglasses</t>
  </si>
  <si>
    <t>Condensation | Relative humidity | Dew point | Water vapor | Vapor pressure | Total pressure</t>
  </si>
  <si>
    <t>https://www.accessengineeringlibrary.com/content/video/V2939922929001</t>
  </si>
  <si>
    <t>Schaum's Thermodynamics Supplementary Problem 1-29: Calculating Pressure Differences</t>
  </si>
  <si>
    <t>Static pressure | Mercury | Specific weight | Pipes | Atmospheric pressure</t>
  </si>
  <si>
    <t>https://www.accessengineeringlibrary.com/content/video/V2939922910001</t>
  </si>
  <si>
    <t>Schaum's Thermodynamics Supplementary Problem 13-18: Combustion of Ethane</t>
  </si>
  <si>
    <t>Ethane | Combustion | Dew point | Fuels | Nitrogen | Chemical reactions</t>
  </si>
  <si>
    <t>https://www.accessengineeringlibrary.com/content/video/V2939922930001</t>
  </si>
  <si>
    <t>Schaum's Thermodynamics Supplementary Problem 2-14: Finding Quality</t>
  </si>
  <si>
    <t>Thermodynamic properties | Steam tables | Specific volume | Intensive properties | Steam pressure | Mass fraction</t>
  </si>
  <si>
    <t>https://www.accessengineeringlibrary.com/content/video/V2939922911001</t>
  </si>
  <si>
    <t>Schaum's Thermodynamics Supplementary Problem 2-31: Equations of State</t>
  </si>
  <si>
    <t>Equations of state | Compressibility | Ideal gas law | Compressibility factor | Specific volume | Critical temperature</t>
  </si>
  <si>
    <t>https://www.accessengineeringlibrary.com/content/video/V2939922912001</t>
  </si>
  <si>
    <t>Schaum's Thermodynamics Supplementary Problem 3-10: Compression Expansion Work Using the Steam Tables</t>
  </si>
  <si>
    <t>Steam tables | Thermodynamic work | Specific volume | Video compression | Atmospheric pressure | Mass</t>
  </si>
  <si>
    <t>https://www.accessengineeringlibrary.com/content/video/V2939922913001</t>
  </si>
  <si>
    <t>Schaum's Thermodynamics Supplementary Problem 3-31: Conversion of Shaft Power to Electrical Power</t>
  </si>
  <si>
    <t>Electric power | Shafts | Power supplies | Power conversion | Watts | Paddle wheels</t>
  </si>
  <si>
    <t>https://www.accessengineeringlibrary.com/content/video/V2939922914001</t>
  </si>
  <si>
    <t>Schaum's Thermodynamics Supplementary Problem 4-105: Ideal Gas Flow through a Diffuser</t>
  </si>
  <si>
    <t>Ideal gas law | Ideal flow | Nitrogen | Conservation of energy | Mass flux | Fluid density</t>
  </si>
  <si>
    <t>https://www.accessengineeringlibrary.com/content/video/V2939922916001</t>
  </si>
  <si>
    <t xml:space="preserve">Schaum's Thermodynamics Supplementary Problem 4-42: Compression Expansion Work Using the Steam Tables </t>
  </si>
  <si>
    <t>Steam tables | Thermodynamic work | Specific volume | Volume | Internal energy | Steam pressure</t>
  </si>
  <si>
    <t>https://www.accessengineeringlibrary.com/content/video/V2939922915001</t>
  </si>
  <si>
    <t>Schaum's Thermodynamics Supplementary Problem 5-22: Carnot Engine with Air</t>
  </si>
  <si>
    <t>Engines | Thermodynamic efficiency | Output efficiency | Absolute temperature | Mass | Ideal gas law</t>
  </si>
  <si>
    <t>https://www.accessengineeringlibrary.com/content/video/V2939922917001</t>
  </si>
  <si>
    <t>Schaum's Thermodynamics Supplementary Problem 5-29: Carnot Refrigerator</t>
  </si>
  <si>
    <t>Temperature coefficients | Horsepower | Temperature | Refrigeration | Heat pumps | Absolute temperature</t>
  </si>
  <si>
    <t>https://www.accessengineeringlibrary.com/content/video/V2939922918001</t>
  </si>
  <si>
    <t>Schaum's Thermodynamics Supplementary Problem 6-33: Entropy Change of an Ideal Gas</t>
  </si>
  <si>
    <t>Entropy | Ideal gas law | Gas expansion | Internal energy | Conservation of energy | Energy engineering</t>
  </si>
  <si>
    <t>https://www.accessengineeringlibrary.com/content/video/V2939922919001</t>
  </si>
  <si>
    <t>Schaum's Thermodynamics Supplementary Problem 6-56: Total Entropy Change for Steam</t>
  </si>
  <si>
    <t>Entropy | Specific volume | Heat transfer | Superheated steam | Volume | Internal energy</t>
  </si>
  <si>
    <t>https://www.accessengineeringlibrary.com/content/video/V2939922920001</t>
  </si>
  <si>
    <t>Schaum's Thermodynamics Supplementary Problem 7-23: Irreversibility for a Throttling Process</t>
  </si>
  <si>
    <t>Mass | Enthalpy | Exergy | Valves | Steam pressure | Conservation of energy</t>
  </si>
  <si>
    <t>https://www.accessengineeringlibrary.com/content/video/V2939922922001</t>
  </si>
  <si>
    <t>Schaum's Thermodynamics Supplementary Problem 7-8: Adiabatic Efficiency of a Steam Turbine.</t>
  </si>
  <si>
    <t>Thermodynamic efficiency | Steam turbines | Turbines | Mass | Flow rate | Entropy</t>
  </si>
  <si>
    <t>https://www.accessengineeringlibrary.com/content/video/V2939922921001</t>
  </si>
  <si>
    <t>Schaum's Thermodynamics Supplementary Problem 8-21: Polytropic Air Compressor</t>
  </si>
  <si>
    <t>Air compressors | Heat transfer | Conservation of energy | Adiabatic processes | Ideal gas law | Fluid compressibility</t>
  </si>
  <si>
    <t>https://www.accessengineeringlibrary.com/content/video/V2939922924001</t>
  </si>
  <si>
    <t>Schaum's Thermodynamics Supplementary Problem 9-21: Ideal Rankine Cycle with Reheat</t>
  </si>
  <si>
    <t>Reheat cycle | Rankine cycle | Heat engines | Turbines | Pumps | Boilers</t>
  </si>
  <si>
    <t>https://www.accessengineeringlibrary.com/content/video/V2939922925001</t>
  </si>
  <si>
    <t>Schaum's Trigonometry Supplementary Problem 1.30</t>
  </si>
  <si>
    <t>Schaum's Outline of Trigonometry, Sixth Edition|Schaum's Outline of Trigonometry, Fifth Edition</t>
  </si>
  <si>
    <t>Trigonometry | Angular velocity | Surface grinding | Diameter measurement</t>
  </si>
  <si>
    <t>https://www.accessengineeringlibrary.com/content/video/V2079933714001</t>
  </si>
  <si>
    <t>Schaum's Trigonometry Supplementary Problem 10.18</t>
  </si>
  <si>
    <t>Trigonometry | Trigonometric functions | Sine | Cosine | Right triangles | Angle measurement</t>
  </si>
  <si>
    <t>https://www.accessengineeringlibrary.com/content/video/V2079918486001</t>
  </si>
  <si>
    <t>Schaum's Trigonometry Supplementary Problem 11.28</t>
  </si>
  <si>
    <t>Trigonometry | Law of sines | Law of cosines | Sine | Triangles | Cosine</t>
  </si>
  <si>
    <t>https://www.accessengineeringlibrary.com/content/video/V2079902189001</t>
  </si>
  <si>
    <t>Schaum's Trigonometry Supplementary Problem 12.23</t>
  </si>
  <si>
    <t>Trigonometry | Triangles | Sine</t>
  </si>
  <si>
    <t>https://www.accessengineeringlibrary.com/content/video/V2079911143001</t>
  </si>
  <si>
    <t>Schaum's Trigonometry Supplementary Problem 12.26</t>
  </si>
  <si>
    <t>Trigonometry | Sine | Triangles</t>
  </si>
  <si>
    <t>https://www.accessengineeringlibrary.com/content/video/V2079902188001</t>
  </si>
  <si>
    <t>Schaum's Trigonometry Supplementary Problem 13.21</t>
  </si>
  <si>
    <t>Trigonometry | Trigonometric functions | Sine | Cosine | Tangent | Right triangles</t>
  </si>
  <si>
    <t>https://www.accessengineeringlibrary.com/content/video/V2079902187001</t>
  </si>
  <si>
    <t>Schaum's Trigonometry Supplementary Problem 14.33</t>
  </si>
  <si>
    <t>Trigonometry | Tangent | Sine | Algebra | Trigonometric equations | Trigonometric functions</t>
  </si>
  <si>
    <t>https://www.accessengineeringlibrary.com/content/video/V2079911142001</t>
  </si>
  <si>
    <t>Schaum's Trigonometry Supplementary Problem 14.52</t>
  </si>
  <si>
    <t>Trigonometry | Cosine | Trigonometric equations | Right triangles | Quadratic equations | Triangles</t>
  </si>
  <si>
    <t>https://www.accessengineeringlibrary.com/content/video/V2079918480001</t>
  </si>
  <si>
    <t>Schaum's Trigonometry Supplementary Problem 15.20</t>
  </si>
  <si>
    <t>Trigonometry | Real numbers | Algebra | Complex numbers</t>
  </si>
  <si>
    <t>https://www.accessengineeringlibrary.com/content/video/V2079902185001</t>
  </si>
  <si>
    <t>Schaum's Trigonometry Supplementary Problem 15.26</t>
  </si>
  <si>
    <t>Trigonometry | Cosine | Sine | Complex numbers | Right triangles | Amplitude</t>
  </si>
  <si>
    <t>https://www.accessengineeringlibrary.com/content/video/V2079918479001</t>
  </si>
  <si>
    <t>Schaum's Trigonometry Supplementary Problem 2.24</t>
  </si>
  <si>
    <t>https://www.accessengineeringlibrary.com/content/video/V2079933713001</t>
  </si>
  <si>
    <t>Schaum's Trigonometry Supplementary Problem 3.22</t>
  </si>
  <si>
    <t>Trigonometry | Trigonometric functions | Tangent | Cosine | Pythagorean theorem | Triangles</t>
  </si>
  <si>
    <t>https://www.accessengineeringlibrary.com/content/video/V2079918493001</t>
  </si>
  <si>
    <t>Schaum's Trigonometry Supplementary Problem 4.25</t>
  </si>
  <si>
    <t>Trigonometry | Right triangles | Triangles | Sine | Cosine</t>
  </si>
  <si>
    <t>https://www.accessengineeringlibrary.com/content/video/V2079933711001</t>
  </si>
  <si>
    <t>Schaum's Trigonometry Supplementary Problem 5.16</t>
  </si>
  <si>
    <t>Trigonometry | Trigonometric functions | Angle measurement | Tangent | Right triangles | Plane motion</t>
  </si>
  <si>
    <t>https://www.accessengineeringlibrary.com/content/video/V2079911155001</t>
  </si>
  <si>
    <t>Schaum's Trigonometry Supplementary Problem 5.26</t>
  </si>
  <si>
    <t>Trigonometry | Trigonometric functions | Inclined planes | Runways | Drag | Sine</t>
  </si>
  <si>
    <t>https://www.accessengineeringlibrary.com/content/video/V2079918490001</t>
  </si>
  <si>
    <t>Schaum's Trigonometry Supplementary Problem 6.13</t>
  </si>
  <si>
    <t>Trigonometry | Trigonometric functions | Acute angles | Sine | Cosine | Tangent</t>
  </si>
  <si>
    <t>https://www.accessengineeringlibrary.com/content/video/V2079933703001</t>
  </si>
  <si>
    <t>Schaum's Trigonometry Supplementary Problem 7.11</t>
  </si>
  <si>
    <t>Trigonometry | Amplitude | Trigonometric functions | Sine | P waves</t>
  </si>
  <si>
    <t>https://www.accessengineeringlibrary.com/content/video/V2079911150001</t>
  </si>
  <si>
    <t>Schaum's Trigonometry Supplementary Problem 8.29</t>
  </si>
  <si>
    <t>Trigonometry | Cosine | Sine | Tangent | Cotangent | Fractions</t>
  </si>
  <si>
    <t>https://www.accessengineeringlibrary.com/content/video/V2079918489001</t>
  </si>
  <si>
    <t>Schaum's Trigonometry Supplementary Problem 8.32</t>
  </si>
  <si>
    <t>Trigonometry | Trigonometric functions | Algebra | Sine | Cosine</t>
  </si>
  <si>
    <t>https://www.accessengineeringlibrary.com/content/video/V2079902190001</t>
  </si>
  <si>
    <t>Schaum's Trigonometry Supplementary Problem 9.29</t>
  </si>
  <si>
    <t>Trigonometry | Cosine | Sine | Tangent | Angle measurement</t>
  </si>
  <si>
    <t>https://www.accessengineeringlibrary.com/content/video/V2079911149001</t>
  </si>
  <si>
    <t>Second Order Systems: Beating in Undamped Systems</t>
  </si>
  <si>
    <t>Second order systems | Natural frequency | Sine | Frequency response | Cosine | Oscillation</t>
  </si>
  <si>
    <t>https://www.accessengineeringlibrary.com/content/video/V6089737880001</t>
  </si>
  <si>
    <t>Second Order Systems: Calculating Key Parameters</t>
  </si>
  <si>
    <t>Second order systems | Settling time | Natural frequency | Damping ratio | Damped frequency | Underdamped system</t>
  </si>
  <si>
    <t>https://www.accessengineeringlibrary.com/content/video/V6089741333001</t>
  </si>
  <si>
    <t>Second Order Systems: Damping and Natural Frequency</t>
  </si>
  <si>
    <t>Second order systems | Natural frequency | Damped frequency | Critical damping | Eigenvalues | Oscillation</t>
  </si>
  <si>
    <t>https://www.accessengineeringlibrary.com/content/video/V6089739849001</t>
  </si>
  <si>
    <t>Second Order Systems: Resonance in Underdamped Systems</t>
  </si>
  <si>
    <t>Resonance | Underdamped system | Second order systems | Natural frequency | Frequency response | Resonant frequency</t>
  </si>
  <si>
    <t>https://www.accessengineeringlibrary.com/content/video/V6089736577001</t>
  </si>
  <si>
    <t>Second Order Undamped Systems: Understanding Key Parameters</t>
  </si>
  <si>
    <t>Natural frequency | Amplitude | Mass | System of equations | Second order systems | Cosine</t>
  </si>
  <si>
    <t>https://www.accessengineeringlibrary.com/content/video/V6089744601001</t>
  </si>
  <si>
    <t>Select Geometry</t>
  </si>
  <si>
    <t>https://www.accessengineeringlibrary.com/content/video/V4768289496001</t>
  </si>
  <si>
    <t>Shape Bender Extension</t>
  </si>
  <si>
    <t>https://www.accessengineeringlibrary.com/content/video/V4768153300001</t>
  </si>
  <si>
    <t>Shock Spectrum</t>
  </si>
  <si>
    <t>Mechanical engineering | Centers of mass | Dynamic load | Amplification factor | Loads | Shock response spectrum</t>
  </si>
  <si>
    <t>https://www.accessengineeringlibrary.com/content/video/V1402349024001</t>
  </si>
  <si>
    <t>Single-stage Single-suction Overhung Pump with Volute Casing</t>
  </si>
  <si>
    <t>Pumps | Mechanical engineering | Impellers | Centrifugal pumps | Water pumps | Spin</t>
  </si>
  <si>
    <t>https://www.accessengineeringlibrary.com/content/video/V1402374722001</t>
  </si>
  <si>
    <t>SketchUp Icon</t>
  </si>
  <si>
    <t>https://www.accessengineeringlibrary.com/content/video/V4768289497001</t>
  </si>
  <si>
    <t>Snap and Lock to the Axes</t>
  </si>
  <si>
    <t>https://www.accessengineeringlibrary.com/content/video/V4768180279001</t>
  </si>
  <si>
    <t>Split a Model in Half</t>
  </si>
  <si>
    <t>https://www.accessengineeringlibrary.com/content/video/V4768134742001</t>
  </si>
  <si>
    <t>Stairs and Handrail</t>
  </si>
  <si>
    <t>https://www.accessengineeringlibrary.com/content/video/V4768289500001</t>
  </si>
  <si>
    <t>Straight Beams Elastically Stressed: Example 1</t>
  </si>
  <si>
    <t>Stress | Compressive stress | Tensile stress | Shear stress | Bending stress | Steel</t>
  </si>
  <si>
    <t>https://www.accessengineeringlibrary.com/content/video/V1836246984001</t>
  </si>
  <si>
    <t>Straight Beams Elastically Stressed: Example 2</t>
  </si>
  <si>
    <t>Stress | Deflection | Cantilevers | Energy methods | Superposition | Sine</t>
  </si>
  <si>
    <t>https://www.accessengineeringlibrary.com/content/video/V1836229561001</t>
  </si>
  <si>
    <t>Stress and Deformation in a Circular Arch</t>
  </si>
  <si>
    <t>Arches | Deformation | Stress | Deflection | Curved beams | Bending stress</t>
  </si>
  <si>
    <t>https://www.accessengineeringlibrary.com/content/video/V1836229553001</t>
  </si>
  <si>
    <t>Stress Concentrations in Flat Plates</t>
  </si>
  <si>
    <t>Stress concentrations | Axial load | Mechanical engineering | Stress concentration factor | Stress | Bending load</t>
  </si>
  <si>
    <t>https://www.accessengineeringlibrary.com/content/video/V1402349027001</t>
  </si>
  <si>
    <t>Stress in a Curved Beam</t>
  </si>
  <si>
    <t>Curved beams | Stress | Normal stress | Bending stress | Geometric properties of areas | Axial load</t>
  </si>
  <si>
    <t>https://www.accessengineeringlibrary.com/content/video/V1836246972001</t>
  </si>
  <si>
    <t>Stress in a Curved Hollow Box Beam</t>
  </si>
  <si>
    <t>Stress | Shear stress | Bending stress | Torsion | Curved beams | Shear load</t>
  </si>
  <si>
    <t>https://www.accessengineeringlibrary.com/content/video/V1840957023001</t>
  </si>
  <si>
    <t>Supplementary Problem 1.16</t>
  </si>
  <si>
    <t>Rebecca B. DeVasher, Ph.D., Assistant Professor, Department of Chemistry, Rose-Hulman Institute of Technology</t>
  </si>
  <si>
    <t>Organic chemistry | Bonding | Chemical bonding | Nitrogen | Carbon | Organic chemicals</t>
  </si>
  <si>
    <t>https://www.accessengineeringlibrary.com/content/video/V2538364112001</t>
  </si>
  <si>
    <t>Supplementary Problem 1.36</t>
  </si>
  <si>
    <t>Chemistry | Unit conversion | Sulfates | Significant digits | Mercury | Dimensional analysis</t>
  </si>
  <si>
    <t>https://www.accessengineeringlibrary.com/content/video/V2537194253001</t>
  </si>
  <si>
    <t>Supplementary Problem 10.12</t>
  </si>
  <si>
    <t>Chemistry | Volume formulas | Volume | Mass | Geometric properties of areas | Fluid density</t>
  </si>
  <si>
    <t>https://www.accessengineeringlibrary.com/content/video/V2537194263001</t>
  </si>
  <si>
    <t>Supplementary Problem 10.29</t>
  </si>
  <si>
    <t>Organic chemistry | Bonding | Carbon | Structural drawings | Chemical bonding | Aromatics</t>
  </si>
  <si>
    <t>https://www.accessengineeringlibrary.com/content/video/V2538386748001</t>
  </si>
  <si>
    <t>Supplementary Problem 11.16</t>
  </si>
  <si>
    <t>Chemistry | Gold | Electrons | Chemical processes | Redox reactions | Oxygen</t>
  </si>
  <si>
    <t>https://www.accessengineeringlibrary.com/content/video/V2537194264001</t>
  </si>
  <si>
    <t>Supplementary Problem 11.39</t>
  </si>
  <si>
    <t>Organic chemistry | Aromatics | Benzene | Electrons | Structural drawings</t>
  </si>
  <si>
    <t>https://www.accessengineeringlibrary.com/content/video/V2538386749001</t>
  </si>
  <si>
    <t>Supplementary Problem 12.41</t>
  </si>
  <si>
    <t>Mass | Organic chemistry | Infrared spectroscopy | Substructures | Nitrogen | Carbon</t>
  </si>
  <si>
    <t>https://www.accessengineeringlibrary.com/content/video/V2538386750001</t>
  </si>
  <si>
    <t>Supplementary Problem 12.46</t>
  </si>
  <si>
    <t>Chemistry | Molar mass | Mass | Significant digits | Molecular weights | Brackets</t>
  </si>
  <si>
    <t>https://www.accessengineeringlibrary.com/content/video/V2537194265001</t>
  </si>
  <si>
    <t>Supplementary Problem 12.47</t>
  </si>
  <si>
    <t>Carbon | Organic chemistry | Nuclear magnetic resonance | Bearings | Nuclear magnetic resonance spectroscopy</t>
  </si>
  <si>
    <t>https://www.accessengineeringlibrary.com/content/video/V2538386751001</t>
  </si>
  <si>
    <t>Supplementary Problem 13.21</t>
  </si>
  <si>
    <t>Chemistry | Molar mass | Mass | Titration | Chemical bases</t>
  </si>
  <si>
    <t>https://www.accessengineeringlibrary.com/content/video/V2537194266001</t>
  </si>
  <si>
    <t>Supplementary Problem 13.32</t>
  </si>
  <si>
    <t>Organic chemistry | Reagents</t>
  </si>
  <si>
    <t>https://www.accessengineeringlibrary.com/content/video/V2538386752001</t>
  </si>
  <si>
    <t>Supplementary Problem 13.35</t>
  </si>
  <si>
    <t>Organic chemistry | Structural drawings | Carbon</t>
  </si>
  <si>
    <t>https://www.accessengineeringlibrary.com/content/video/V2538386753001</t>
  </si>
  <si>
    <t>Supplementary Problem 14.15</t>
  </si>
  <si>
    <t>Boiling point | Chemistry | Molar mass | Mass | Solvents | Fluid properties</t>
  </si>
  <si>
    <t>https://www.accessengineeringlibrary.com/content/video/V2537194267001</t>
  </si>
  <si>
    <t>Supplementary Problem 14.46</t>
  </si>
  <si>
    <t>Organic chemistry | Sulfuric acid | Chemical bonding | Byproducts</t>
  </si>
  <si>
    <t>https://www.accessengineeringlibrary.com/content/video/V2538386754001</t>
  </si>
  <si>
    <t>Supplementary Problem 15.17</t>
  </si>
  <si>
    <t>Chemistry | Carbon | Bonding | Chemical bonding | Nitrogen | Ketones</t>
  </si>
  <si>
    <t>https://www.accessengineeringlibrary.com/content/video/V2537194268001</t>
  </si>
  <si>
    <t>Supplementary Problem 15.51</t>
  </si>
  <si>
    <t>Organic chemistry | Ketones | Reagents | Salts | Chemical bonding | Carbon</t>
  </si>
  <si>
    <t>https://www.accessengineeringlibrary.com/content/video/V2538386755001</t>
  </si>
  <si>
    <t>Supplementary Problem 16.29</t>
  </si>
  <si>
    <t>Chemistry | Chemical equilibrium | Stoichiometry | Physical properties | Ideal gas law | Free energy</t>
  </si>
  <si>
    <t>https://www.accessengineeringlibrary.com/content/video/V2537194269001</t>
  </si>
  <si>
    <t>Supplementary Problem 16.63</t>
  </si>
  <si>
    <t>Organic chemistry | Chemical bonding | Carboxylic acids | Zinc alloys | Water treatment | Reagents</t>
  </si>
  <si>
    <t>https://www.accessengineeringlibrary.com/content/video/V2538386756001</t>
  </si>
  <si>
    <t>Supplementary Problem 17.40</t>
  </si>
  <si>
    <t>Organic chemistry | Carbon | Condensation | Bonding | Bearings</t>
  </si>
  <si>
    <t>https://www.accessengineeringlibrary.com/content/video/V2538386757001</t>
  </si>
  <si>
    <t>Supplementary Problem 17.61</t>
  </si>
  <si>
    <t>Chemistry | Ionization | Chemical bases | Stoichiometry | Quadratic equations | Dissociation</t>
  </si>
  <si>
    <t>https://www.accessengineeringlibrary.com/content/video/V2537194270001</t>
  </si>
  <si>
    <t>Supplementary Problem 17.63</t>
  </si>
  <si>
    <t>Chemistry | Salts | Chemical bases | pH | Stoichiometry</t>
  </si>
  <si>
    <t>https://www.accessengineeringlibrary.com/content/video/V2537194271001</t>
  </si>
  <si>
    <t>Supplementary Problem 18.36</t>
  </si>
  <si>
    <t>Solubility | Chemistry | Molar mass</t>
  </si>
  <si>
    <t>https://www.accessengineeringlibrary.com/content/video/V2537194272001</t>
  </si>
  <si>
    <t>Supplementary Problem 18.53</t>
  </si>
  <si>
    <t>Organic chemistry | Benzene | Chemical synthesis | Structural drawings | Inorganic chemicals | Chemistry</t>
  </si>
  <si>
    <t>https://www.accessengineeringlibrary.com/content/video/V2538386758001</t>
  </si>
  <si>
    <t>Supplementary Problem 19.18</t>
  </si>
  <si>
    <t>Organic chemistry | Carboxylic acids | Carbon | Acetic acids | Benzene</t>
  </si>
  <si>
    <t>https://www.accessengineeringlibrary.com/content/video/V2538386759001</t>
  </si>
  <si>
    <t>Supplementary Problem 19.57</t>
  </si>
  <si>
    <t>Electrochemical cells | Chemistry | Free energy | Silver | Electric potential | Electrons</t>
  </si>
  <si>
    <t>https://www.accessengineeringlibrary.com/content/video/V2537194273001</t>
  </si>
  <si>
    <t>Supplementary Problem 2.20</t>
  </si>
  <si>
    <t>Chemistry | Chemicals | Stoichiometry | Decomposition | Sulfates | Molar mass</t>
  </si>
  <si>
    <t>https://www.accessengineeringlibrary.com/content/video/V2537194254001</t>
  </si>
  <si>
    <t>Supplementary Problem 2.39</t>
  </si>
  <si>
    <t>Resonance structures | Organic chemistry | Structural drawings | Carbon | Electrons | Chemical bonding</t>
  </si>
  <si>
    <t>https://www.accessengineeringlibrary.com/content/video/V2538364113001</t>
  </si>
  <si>
    <t>Supplementary Problem 20.23</t>
  </si>
  <si>
    <t>Chemistry | Reaction kinetics | Benzene</t>
  </si>
  <si>
    <t>https://www.accessengineeringlibrary.com/content/video/V2537194274001</t>
  </si>
  <si>
    <t>Supplementary Problem 21.20</t>
  </si>
  <si>
    <t>Chemistry | Nuclear chemical engineering | Protons | Nickel alloys | Silver | Nitrogen</t>
  </si>
  <si>
    <t>https://www.accessengineeringlibrary.com/content/video/V2537194275001</t>
  </si>
  <si>
    <t>Supplementary Problem 3.37</t>
  </si>
  <si>
    <t>Chemistry | Molar mass</t>
  </si>
  <si>
    <t>https://www.accessengineeringlibrary.com/content/video/V2537194255001</t>
  </si>
  <si>
    <t>Organic chemistry | Carbon | Bonding | Chemical bonding | Bonding processes</t>
  </si>
  <si>
    <t>https://www.accessengineeringlibrary.com/content/video/V2538364114001</t>
  </si>
  <si>
    <t>Supplementary Problem 4.21</t>
  </si>
  <si>
    <t>Chemistry | Chemicals | Zinc alloys | System of equations | Stoichiometry</t>
  </si>
  <si>
    <t>https://www.accessengineeringlibrary.com/content/video/V2537194256001</t>
  </si>
  <si>
    <t>Supplementary Problem 4.30</t>
  </si>
  <si>
    <t>Organic chemistry | Reagents | Carbon | Couplings | Bonding</t>
  </si>
  <si>
    <t>https://www.accessengineeringlibrary.com/content/video/V2538364115001</t>
  </si>
  <si>
    <t>Supplementary Problem 4.35</t>
  </si>
  <si>
    <t>Bonding | Organic chemistry | Organic chemicals | Dissociation | Combustion | Chemical bonding</t>
  </si>
  <si>
    <t>https://www.accessengineeringlibrary.com/content/video/V2538364116001</t>
  </si>
  <si>
    <t>Supplementary Problem 4.38</t>
  </si>
  <si>
    <t>Chemical processes | Chemistry | Chemical reactions | Molar mass | Significant digits | Oxides</t>
  </si>
  <si>
    <t>https://www.accessengineeringlibrary.com/content/video/V2537194257001</t>
  </si>
  <si>
    <t>Supplementary Problem 5.28</t>
  </si>
  <si>
    <t>Organic chemistry | Isomerism | Structural drawings | Carbon | Structural members | Chemistry</t>
  </si>
  <si>
    <t>https://www.accessengineeringlibrary.com/content/video/V2538364117001</t>
  </si>
  <si>
    <t>Supplementary Problem 5.31</t>
  </si>
  <si>
    <t>Organic chemistry | Hydrogenation | Carbon | Structural drawings | Optical materials | Isomerism</t>
  </si>
  <si>
    <t>https://www.accessengineeringlibrary.com/content/video/V2538386742001</t>
  </si>
  <si>
    <t>Supplementary Problem 5.33</t>
  </si>
  <si>
    <t>Chemistry | Water vapor | Volume | Combined gas law | Boyles Law | Water law</t>
  </si>
  <si>
    <t>https://www.accessengineeringlibrary.com/content/video/V2537194258001</t>
  </si>
  <si>
    <t>Supplementary Problem 6.40</t>
  </si>
  <si>
    <t>Organic chemistry | Enthalpy</t>
  </si>
  <si>
    <t>https://www.accessengineeringlibrary.com/content/video/V2538386743001</t>
  </si>
  <si>
    <t>Supplementary Problem 6.46</t>
  </si>
  <si>
    <t>Molar mass | Chemistry | Fluid density | Carbon | Synthetic composites | Ideal gas law</t>
  </si>
  <si>
    <t>https://www.accessengineeringlibrary.com/content/video/V2537194259001</t>
  </si>
  <si>
    <t>Supplementary Problem 7.30</t>
  </si>
  <si>
    <t>Chemistry | Heat transfer | Thermodynamic equilibrium | Enthalpy | Heat of fusion | Heat capacity</t>
  </si>
  <si>
    <t>https://www.accessengineeringlibrary.com/content/video/V2537194260001</t>
  </si>
  <si>
    <t>Supplementary Problem 7.36</t>
  </si>
  <si>
    <t>Organic chemistry | Methanol | Carboxylic acids</t>
  </si>
  <si>
    <t>https://www.accessengineeringlibrary.com/content/video/V2538386744001</t>
  </si>
  <si>
    <t>Supplementary Problem 7.47</t>
  </si>
  <si>
    <t>Organic chemistry | Chemical bonding</t>
  </si>
  <si>
    <t>https://www.accessengineeringlibrary.com/content/video/V2538386745001</t>
  </si>
  <si>
    <t>Supplementary Problem 8.23</t>
  </si>
  <si>
    <t>Chemistry | Wavelengths | Speed of light | Nitrogen | Bonding | Significant digits</t>
  </si>
  <si>
    <t>https://www.accessengineeringlibrary.com/content/video/V2537194261001</t>
  </si>
  <si>
    <t>Supplementary Problem 8.40</t>
  </si>
  <si>
    <t>Organic chemistry | Chemistry | Sulfuric acid | Sulfates | Silver | Chemical bonding</t>
  </si>
  <si>
    <t>https://www.accessengineeringlibrary.com/content/video/V2538386746001</t>
  </si>
  <si>
    <t>Supplementary Problem 9.40</t>
  </si>
  <si>
    <t>Chemistry | Sulfur | Nitrogen | Chemicals | Salts | Metals</t>
  </si>
  <si>
    <t>https://www.accessengineeringlibrary.com/content/video/V2537194262001</t>
  </si>
  <si>
    <t>Supplementary Problem 9.43</t>
  </si>
  <si>
    <t>Organic chemistry | Carbon | Bonding | Hydrogenation | Chemical bonding | Acid catalysts</t>
  </si>
  <si>
    <t>https://www.accessengineeringlibrary.com/content/video/V2538386747001</t>
  </si>
  <si>
    <t>System Stability</t>
  </si>
  <si>
    <t>System stability | Electronics engineering | Feedback control systems | Poles of a transfer function | Open loop systems | Step response</t>
  </si>
  <si>
    <t>https://www.accessengineeringlibrary.com/content/video/V1873289115001</t>
  </si>
  <si>
    <t>Teach Yourself Electricity and Electronics: Audio Limiter and Squelch</t>
  </si>
  <si>
    <t>Stan Gibilisco, Author, Teach Yourself Electricity and Electronics, 5th Edition</t>
  </si>
  <si>
    <t>Electricity | Diodes | Input voltage | Voltage output | Voltage | Semiconductors</t>
  </si>
  <si>
    <t>https://www.accessengineeringlibrary.com/content/video/V4124557777001</t>
  </si>
  <si>
    <t>Teach Yourself Electricity and Electronics: Audio Transformers</t>
  </si>
  <si>
    <t>Electricity | Audio transformers | Acoustic impedance | Impedance | Reactance | Microphones</t>
  </si>
  <si>
    <t>https://www.accessengineeringlibrary.com/content/video/V4124557778001</t>
  </si>
  <si>
    <t>Teach Yourself Electricity and Electronics: Impedance in Series</t>
  </si>
  <si>
    <t>Electrical impedance | Impedance | Electricity | Reactance | Real numbers | Inductors</t>
  </si>
  <si>
    <t>https://www.accessengineeringlibrary.com/content/video/V4124557779001</t>
  </si>
  <si>
    <t>Teach Yourself Electricity and Electronics: Modulated Light Project</t>
  </si>
  <si>
    <t>Electricity | Modulation | Audio amplifiers | Microphones | Light emitting diodes | Telescopes</t>
  </si>
  <si>
    <t>https://www.accessengineeringlibrary.com/content/video/V4124557774001</t>
  </si>
  <si>
    <t xml:space="preserve">Teach Yourself Electricity and Electronics: Resonance Part 1 </t>
  </si>
  <si>
    <t>Electricity | Resonance | Resonant circuits | Resistors | Resonant frequency | Impedance</t>
  </si>
  <si>
    <t>https://www.accessengineeringlibrary.com/content/video/V4124557775001</t>
  </si>
  <si>
    <t>Teach Yourself Electricity and Electronics: Resonance Part 2</t>
  </si>
  <si>
    <t>Electricity | Resonance | Resonant frequency | Harmonics | Inductance | Capacitance</t>
  </si>
  <si>
    <t>https://www.accessengineeringlibrary.com/content/video/V4124557776001</t>
  </si>
  <si>
    <t>Teach Yourself Electricity and Electronics: RMS Voltage for a Square Wave</t>
  </si>
  <si>
    <t>Electricity | Voltage | Mean | Voltage peaks | Direct current | RMS value</t>
  </si>
  <si>
    <t>https://www.accessengineeringlibrary.com/content/video/V4124557772001</t>
  </si>
  <si>
    <t>Teach Yourself Electricity and Electronics: The Concept of RMS</t>
  </si>
  <si>
    <t>Electricity | Voltage | Sine | Resistors | Alternating current | Direct current</t>
  </si>
  <si>
    <t>https://www.accessengineeringlibrary.com/content/video/V4124557771001</t>
  </si>
  <si>
    <t>Teach Yourself Electricity and Electronics: What is Voltage "Drop"?</t>
  </si>
  <si>
    <t>Electricity | Voltage drop | Direct current | Resistors | Circuits | Electric conductors</t>
  </si>
  <si>
    <t>https://www.accessengineeringlibrary.com/content/video/V4124557773001</t>
  </si>
  <si>
    <t>Terrain Model</t>
  </si>
  <si>
    <t>https://www.accessengineeringlibrary.com/content/video/V4768134744001</t>
  </si>
  <si>
    <t>The Construction and Interpretation of XBar Control Charts</t>
  </si>
  <si>
    <t>Control charts | Six Sigma | X bar control charts | Range charts | Statistics | Sigma charts</t>
  </si>
  <si>
    <t>https://www.accessengineeringlibrary.com/content/video/V3615833506001</t>
  </si>
  <si>
    <t>The Interface</t>
  </si>
  <si>
    <t>https://www.accessengineeringlibrary.com/content/video/V4768134745001</t>
  </si>
  <si>
    <t>The Relationship between Sigma Levels and Defect Rate</t>
  </si>
  <si>
    <t>Defect rate | Six Sigma | Defects | Normal distribution | DPMO | Standard deviation</t>
  </si>
  <si>
    <t>https://www.accessengineeringlibrary.com/content/video/V3615833520001</t>
  </si>
  <si>
    <t>The Tolerance of Position</t>
  </si>
  <si>
    <t>Machine design | Geometric dimensioning and tolerancing | Datum features | Positional tolerances | Diameter measurement | Datum reference frames</t>
  </si>
  <si>
    <t>https://www.accessengineeringlibrary.com/content/video/V2433952474001</t>
  </si>
  <si>
    <t>Thermal Science Example 13-1</t>
  </si>
  <si>
    <t>Erian Baskharone, Professor Emeritus, Mechanical and Aerospace Engineering, Texas A&amp;M University</t>
  </si>
  <si>
    <t>Thermodynamic properties | Thermodynamic science | Mechanical thermodynamics | Heat transfer | Fluid mechanics | Oblique shock</t>
  </si>
  <si>
    <t>https://www.accessengineeringlibrary.com/content/video/V2758874984001</t>
  </si>
  <si>
    <t>Thermal Science Example 4-16</t>
  </si>
  <si>
    <t>Thermodynamic science | Mechanical thermodynamics | Heat transfer | Fluid mechanics | Entropy | Volume</t>
  </si>
  <si>
    <t>https://www.accessengineeringlibrary.com/content/video/V2758874988001</t>
  </si>
  <si>
    <t>Thermal Science Example 4-2</t>
  </si>
  <si>
    <t>Thermodynamic science | Mechanical thermodynamics | Heat transfer | Fluid mechanics | Superheated steam | Internal energy</t>
  </si>
  <si>
    <t>https://www.accessengineeringlibrary.com/content/video/V2758874985001</t>
  </si>
  <si>
    <t>Thermal Science Example 4-3</t>
  </si>
  <si>
    <t>Isentropic processes | Thermodynamic science | Mechanical thermodynamics | Heat transfer | Fluid mechanics | Water quality</t>
  </si>
  <si>
    <t>https://www.accessengineeringlibrary.com/content/video/V2758874986001</t>
  </si>
  <si>
    <t>Thermal Science Example 7-6</t>
  </si>
  <si>
    <t>Turboprop engines | Turbines | Thermodynamic science | Mechanical thermodynamics | Heat transfer | Fluid mechanics</t>
  </si>
  <si>
    <t>https://www.accessengineeringlibrary.com/content/video/V2758874977001</t>
  </si>
  <si>
    <t>Thermal Science Example 7-7</t>
  </si>
  <si>
    <t>Thermodynamic science | Mechanical thermodynamics | Heat transfer | Fluid mechanics | Turbofan engines | Brayton cycle</t>
  </si>
  <si>
    <t>https://www.accessengineeringlibrary.com/content/video/V2758874978001</t>
  </si>
  <si>
    <t>Thermal Science Problem 10-3</t>
  </si>
  <si>
    <t>Thermodynamic science | Mechanical thermodynamics | Heat transfer | Fluid mechanics | Rotors | Turbines</t>
  </si>
  <si>
    <t>https://www.accessengineeringlibrary.com/content/video/V2758874979001</t>
  </si>
  <si>
    <t>Thermal Science Problem 10-6</t>
  </si>
  <si>
    <t>https://www.accessengineeringlibrary.com/content/video/V2758874980001</t>
  </si>
  <si>
    <t>Thermal Science Problem 11-1</t>
  </si>
  <si>
    <t>Thermodynamic science | Mechanical thermodynamics | Heat transfer | Fluid mechanics | Turbines | Rotors</t>
  </si>
  <si>
    <t>https://www.accessengineeringlibrary.com/content/video/V2758874981001</t>
  </si>
  <si>
    <t>Thermal Science Problem 11-2</t>
  </si>
  <si>
    <t>Thermodynamic science | Mechanical thermodynamics | Heat transfer | Fluid mechanics | Shafts | Turbomachinery</t>
  </si>
  <si>
    <t>https://www.accessengineeringlibrary.com/content/video/V2758874983001</t>
  </si>
  <si>
    <t>Thermal Science Problem 11-4</t>
  </si>
  <si>
    <t>Thermodynamic science | Mechanical thermodynamics | Heat transfer | Fluid mechanics | Video compression | Rotors</t>
  </si>
  <si>
    <t>https://www.accessengineeringlibrary.com/content/video/V2758874982001</t>
  </si>
  <si>
    <t>Thermal Science Problem 15-4</t>
  </si>
  <si>
    <t>Thermodynamic science | Mechanical thermodynamics | Heat transfer | Fluid mechanics | Pressure drop | Laminar flow</t>
  </si>
  <si>
    <t>https://www.accessengineeringlibrary.com/content/video/V2758874989001</t>
  </si>
  <si>
    <t>Thermal Science Problem 17-1</t>
  </si>
  <si>
    <t>Thermodynamic science | Mechanical thermodynamics | Heat transfer | Fluid mechanics | Compressible flow | Mach number</t>
  </si>
  <si>
    <t>https://www.accessengineeringlibrary.com/content/video/V2758874991001</t>
  </si>
  <si>
    <t>Thermal Science Problem 17-2</t>
  </si>
  <si>
    <t>Thermodynamic science | Mechanical thermodynamics | Heat transfer | Fluid mechanics | Combustion chambers | Mach number</t>
  </si>
  <si>
    <t>https://www.accessengineeringlibrary.com/content/video/V2758874987001</t>
  </si>
  <si>
    <t>Thermal Science Problem 20-2</t>
  </si>
  <si>
    <t>Heat transfer | Heat exchangers | Thermodynamic science | Mechanical thermodynamics | Fluid mechanics | Temperature</t>
  </si>
  <si>
    <t>https://www.accessengineeringlibrary.com/content/video/V2758874992001</t>
  </si>
  <si>
    <t>Thermal Science Problem 3-4</t>
  </si>
  <si>
    <t>Thermodynamic science | Mechanical thermodynamics | Heat transfer | Fluid mechanics | Compressibility factor | Thermodynamic properties</t>
  </si>
  <si>
    <t>https://www.accessengineeringlibrary.com/content/video/V2758874973001</t>
  </si>
  <si>
    <t>Thermal Science Problem 4-10</t>
  </si>
  <si>
    <t>Enthalpy | Thermodynamic science | Mechanical thermodynamics | Heat transfer | Fluid mechanics | Liquid pressure</t>
  </si>
  <si>
    <t>https://www.accessengineeringlibrary.com/content/video/V2758874975001</t>
  </si>
  <si>
    <t>Thermal Science Problem 4-5</t>
  </si>
  <si>
    <t>Thermodynamic science | Mechanical thermodynamics | Heat transfer | Fluid mechanics | Isentropic processes | Temperature</t>
  </si>
  <si>
    <t>https://www.accessengineeringlibrary.com/content/video/V2758874974001</t>
  </si>
  <si>
    <t>Thermal Science Problem 4-8</t>
  </si>
  <si>
    <t>Heat transfer | Thermodynamic science | Mechanical thermodynamics | Fluid mechanics | Condensation heat transfer | Superheated steam</t>
  </si>
  <si>
    <t>https://www.accessengineeringlibrary.com/content/video/V2758874990001</t>
  </si>
  <si>
    <t>Thermal Science Problem 7-2</t>
  </si>
  <si>
    <t>Thermodynamic efficiency | Thermodynamic science | Mechanical thermodynamics | Heat transfer | Fluid mechanics | Diesel cycle</t>
  </si>
  <si>
    <t>https://www.accessengineeringlibrary.com/content/video/V2758874976001</t>
  </si>
  <si>
    <t>Thevenin and Norton Equivalents: Video 1</t>
  </si>
  <si>
    <t>Thevenin's theorem | Norton's theorem | Circuits | Electricity | Electrical engineering | Resistors</t>
  </si>
  <si>
    <t>https://www.accessengineeringlibrary.com/content/video/V1931838139001</t>
  </si>
  <si>
    <t>Thevenin and Norton Equivalents: Video 2</t>
  </si>
  <si>
    <t>Thevenin's theorem | Norton's theorem | Circuits | Electricity | Electrical engineering | Kirchhoff's current law</t>
  </si>
  <si>
    <t>https://www.accessengineeringlibrary.com/content/video/V1931838149001</t>
  </si>
  <si>
    <t>Three Element Rectangular Strain Gage Data Reduction</t>
  </si>
  <si>
    <t>Strain gages | Principal stress | Material properties | Electrical properties | Shear stress | Normal stress</t>
  </si>
  <si>
    <t>https://www.accessengineeringlibrary.com/content/video/V1836246981001</t>
  </si>
  <si>
    <t>Tinkercad: Customize a Phone Case</t>
  </si>
  <si>
    <t>https://www.accessengineeringlibrary.com/content/video/V4005352533001</t>
  </si>
  <si>
    <t>Tinkercad: How to Use Shape Generators</t>
  </si>
  <si>
    <t>https://www.accessengineeringlibrary.com/content/video/V4005352527001</t>
  </si>
  <si>
    <t>Torque Transfer Video 1: Devices</t>
  </si>
  <si>
    <t>Torque | Shafts | Splines | Mechanical engineering | Keyways | Power screws</t>
  </si>
  <si>
    <t>https://www.accessengineeringlibrary.com/content/video/V1402374728001</t>
  </si>
  <si>
    <t>Torque Transfer Video 2: Keyway Design</t>
  </si>
  <si>
    <t>Torque | Keyways | Mechanical engineering | Shafts | Yield strength | Shear force</t>
  </si>
  <si>
    <t>https://www.accessengineeringlibrary.com/content/video/V1402374726001</t>
  </si>
  <si>
    <t>Torque Transfer Video 3: Spline Design</t>
  </si>
  <si>
    <t>Splines | Torque | Shafts | Mechanical engineering | Machining</t>
  </si>
  <si>
    <t>https://www.accessengineeringlibrary.com/content/video/V1402345907001</t>
  </si>
  <si>
    <t>Torque Transfer Video 4: Tolerancing</t>
  </si>
  <si>
    <t>Torque | Mechanical engineering | Shafts</t>
  </si>
  <si>
    <t>https://www.accessengineeringlibrary.com/content/video/V1402374717001</t>
  </si>
  <si>
    <t>Torsion of a Solid Non-Circular Shaft</t>
  </si>
  <si>
    <t>Torsion | Solid shafts | Stress | Mechanical engineering | Shafts | Shear stress</t>
  </si>
  <si>
    <t>https://www.accessengineeringlibrary.com/content/video/V1402345912001</t>
  </si>
  <si>
    <t>Torsion of a Spruce Member</t>
  </si>
  <si>
    <t>Torsion | Spruce | Compressive stress | Torque | Stress effects | Airplanes</t>
  </si>
  <si>
    <t>https://www.accessengineeringlibrary.com/content/video/V1836243648001</t>
  </si>
  <si>
    <t>Torsion of a Steel Tube</t>
  </si>
  <si>
    <t>Torsion | Steel | Structural members | K value</t>
  </si>
  <si>
    <t>https://www.accessengineeringlibrary.com/content/video/V1836243646001</t>
  </si>
  <si>
    <t>Torus</t>
  </si>
  <si>
    <t>https://www.accessengineeringlibrary.com/content/video/V4768289503001</t>
  </si>
  <si>
    <t>Tower Crane</t>
  </si>
  <si>
    <t>Cranes | Construction equipment | Hoists | Motors</t>
  </si>
  <si>
    <t>https://www.accessengineeringlibrary.com/content/video/V5762523952001</t>
  </si>
  <si>
    <t>Trimmer</t>
  </si>
  <si>
    <t>Trimmers | Construction equipment | Railways | Conveyor belts | Control systems | Pavement</t>
  </si>
  <si>
    <t>https://www.accessengineeringlibrary.com/content/video/V5762531196001</t>
  </si>
  <si>
    <t>Trucks</t>
  </si>
  <si>
    <t>Loaders | Hauling equipment | Construction equipment</t>
  </si>
  <si>
    <t>https://www.accessengineeringlibrary.com/content/video/V5762531782001</t>
  </si>
  <si>
    <t>Unbalanced AC System with Delta-Connected Load</t>
  </si>
  <si>
    <t>Electricity | Electrical engineering | Electric power systems | Watts | Reactive power | Impedance</t>
  </si>
  <si>
    <t>https://www.accessengineeringlibrary.com/content/video/V1931838147001</t>
  </si>
  <si>
    <t>Unbalanced AC System with Y-Connected Load</t>
  </si>
  <si>
    <t>Electricity | Electrical engineering | Electric power systems | Watts | Line voltage | Magnitude phase plot</t>
  </si>
  <si>
    <t>https://www.accessengineeringlibrary.com/content/video/V1948933348001</t>
  </si>
  <si>
    <t>Using a Digital Caliper</t>
  </si>
  <si>
    <t>https://www.accessengineeringlibrary.com/content/video/V4768134746001</t>
  </si>
  <si>
    <t>Using a Prioritization Matrix with the Full Analytic Method</t>
  </si>
  <si>
    <t>Six Sigma | Project selection | Project scheduling | Rational method | Process metrics | Process design</t>
  </si>
  <si>
    <t>https://www.accessengineeringlibrary.com/content/video/V3667696170001</t>
  </si>
  <si>
    <t>Using Consensus Criteria Method for a Prioritization Matrix</t>
  </si>
  <si>
    <t>Six Sigma | Project selection | Mean</t>
  </si>
  <si>
    <t>https://www.accessengineeringlibrary.com/content/video/V3667696169001</t>
  </si>
  <si>
    <t>Vibration Isolation</t>
  </si>
  <si>
    <t>Vibration isolation | Mechanical engineering | Vibration | Damping | Amplifiers | Natural frequency</t>
  </si>
  <si>
    <t>https://www.accessengineeringlibrary.com/content/video/V1402345911001</t>
  </si>
  <si>
    <t>Virtual Condition</t>
  </si>
  <si>
    <t>Machine design | Geometric dimensioning and tolerancing | Orientation tolerances | Engine design</t>
  </si>
  <si>
    <t>https://www.accessengineeringlibrary.com/content/video/V2433899713001</t>
  </si>
  <si>
    <t>Voltage Drop</t>
  </si>
  <si>
    <t>Voltage drop | Electricity | Direct current | Circuits | Electric conductors</t>
  </si>
  <si>
    <t>https://www.accessengineeringlibrary.com/content/video/V3422515624001</t>
  </si>
  <si>
    <t>Voltage Drop for a DC System</t>
  </si>
  <si>
    <t>Voltage drop | Direct current | Electricity | Electrical engineering | Voltage regulation | Voltage</t>
  </si>
  <si>
    <t>https://www.accessengineeringlibrary.com/content/video/V1931854275001</t>
  </si>
  <si>
    <t>Voltage Drop for an AC System</t>
  </si>
  <si>
    <t>Voltage drop | Alternating current | Electricity | Electrical engineering | Voltage regulation | Line voltage</t>
  </si>
  <si>
    <t>https://www.accessengineeringlibrary.com/content/video/V1931831091001</t>
  </si>
  <si>
    <t>Water Treatment Plant Solids Balance Video One: Chemical Requirements and Residuals Production from Conventional Water Treatment</t>
  </si>
  <si>
    <t>Water treatment | Water treatment plants | Chemicals | Water quality | Potable water | Surface water</t>
  </si>
  <si>
    <t>https://www.accessengineeringlibrary.com/content/video/V4199138216001</t>
  </si>
  <si>
    <t>Water Treatment Plant Solids Balance Video Three: Water and Solids Balance for Dewatering of Thickened Conventional Water Plant Sludge</t>
  </si>
  <si>
    <t>Water treatment plants | Sludge dewatering | Water treatment | Water quality | Potable water | Surface water</t>
  </si>
  <si>
    <t>https://www.accessengineeringlibrary.com/content/video/V4199176155001</t>
  </si>
  <si>
    <t>Water Treatment Plant Solids Balance Video Two: Water and Solids Balance for Thickening of Conventional Water Plant Sedimentation Underflow</t>
  </si>
  <si>
    <t>Water treatment plants | Water treatment | Water quality | Potable water | Surface water | Surface treatment</t>
  </si>
  <si>
    <t>https://www.accessengineeringlibrary.com/content/video/V4199201575001</t>
  </si>
  <si>
    <t>Welding Example: Member Subject to Bending</t>
  </si>
  <si>
    <t>Welding | Welded connections | Weld strength | Steel | Plain carbon steel | Electrodes</t>
  </si>
  <si>
    <t>https://www.accessengineeringlibrary.com/content/video/V1838563025001</t>
  </si>
  <si>
    <t>Welding Example: Member Subject to Shear</t>
  </si>
  <si>
    <t>Welding | Welded connections | Weld strength | Fillet welds | Electrodes | Centers of mass</t>
  </si>
  <si>
    <t>https://www.accessengineeringlibrary.com/content/video/V1838565654001</t>
  </si>
  <si>
    <t>Wind Power Economics</t>
  </si>
  <si>
    <t>Wind energy | Mechanical engineering | Levelized costs | Electrical generators | Electric power | Depreciation</t>
  </si>
  <si>
    <t>https://www.accessengineeringlibrary.com/content/video/V1402381068001</t>
  </si>
  <si>
    <t xml:space="preserve">XBar Control Chart Calculations </t>
  </si>
  <si>
    <t>Control charts | Six Sigma | X bar control charts | Range charts | Standard deviation | Sigma charts</t>
  </si>
  <si>
    <t>https://www.accessengineeringlibrary.com/content/video/V3615833507001</t>
  </si>
  <si>
    <t>Spreadsheets</t>
  </si>
  <si>
    <t>Venturi Meter Gas Flow Calculations</t>
  </si>
  <si>
    <t>Harlan Bengtson, Ph.D., P.E.</t>
  </si>
  <si>
    <t>Venturi meters | Pipe flow | Pressure drop | Flow rate | Gases | Gas pipes</t>
  </si>
  <si>
    <t>https://www.accessengineeringlibrary.com/content/calculator/S0040_Venturi_Meter_Gas_Flow_Calculations</t>
  </si>
  <si>
    <t>MBR Process Design Calculations</t>
  </si>
  <si>
    <t>Aeration tanks | Wastewater treatment | Solids residence time | Mixed liquor suspended solids | Membrane bioreactors</t>
  </si>
  <si>
    <t>https://www.accessengineeringlibrary.com/content/calculator/S0045_MBR_Process_Design_Calculations</t>
  </si>
  <si>
    <t>Sharp Crested Weir</t>
  </si>
  <si>
    <t>Sharp crested weirs | Flow rate | Weirs</t>
  </si>
  <si>
    <t>https://www.accessengineeringlibrary.com/content/calculator/S0028_Sharp_Crested_Weir</t>
  </si>
  <si>
    <t>Detention Pond Routing by the Storage Indication Method</t>
  </si>
  <si>
    <t>Harlan Bengtson Ph.D., P.E.</t>
  </si>
  <si>
    <t>Detention pond routing | Hydrographs | Weirs | Pipes | Composites</t>
  </si>
  <si>
    <t>https://www.accessengineeringlibrary.com/content/calculator/S0004_Detention_Pond_Routing_by_the_Storage_Indication_Method</t>
  </si>
  <si>
    <t>Thermodynamic P-V-T Calculations for Gases</t>
  </si>
  <si>
    <t>Gases | Critical temperature | Gas pressure | Fluid density | Volume | Pressure-Volume-Temperature relationship</t>
  </si>
  <si>
    <t>https://www.accessengineeringlibrary.com/content/calculator/S0044_Thermodynamic_P-V-T_Calculations_for_Gases</t>
  </si>
  <si>
    <t>Compressible Fanno Flow Through a Pipe</t>
  </si>
  <si>
    <t>Compressible flow | Pipe flow | Incompressible flow | Turbulent flow | Laminar flow | Adiabatic flow</t>
  </si>
  <si>
    <t>https://www.accessengineeringlibrary.com/content/calculator/S0043_Compressible_Fanno_Flow_Through_a_Pipe</t>
  </si>
  <si>
    <t>Analysis of a Propped Cantilever Beam</t>
  </si>
  <si>
    <t>Mark Rossow, Ph.D., P.E.</t>
  </si>
  <si>
    <t>Cantilever beams | Shear diagrams | Shear deflection | Polynomials | Elastic modulus | Deflection</t>
  </si>
  <si>
    <t>https://www.accessengineeringlibrary.com/content/calculator/S0014_Analysis_of_a_Propped_Cantilever_Beam</t>
  </si>
  <si>
    <t>Sutro Weir Design and Flow Calculations</t>
  </si>
  <si>
    <t>Weirs | Flow rate | Discharge coefficient</t>
  </si>
  <si>
    <t>https://www.accessengineeringlibrary.com/content/calculator/S0049_Sutro_Weir_Design_and_Flow_Calculations</t>
  </si>
  <si>
    <t>Hydraulic Grade Line and Energy Grade Line Calculations</t>
  </si>
  <si>
    <t>Hydraulic energy | Pipe flow | Storm sewers | Surface energy | Stormwater | Roughness coefficient</t>
  </si>
  <si>
    <t>https://www.accessengineeringlibrary.com/content/calculator/S0042_Hydraulic_Grade_Line_and_Energy_Grade_Line_Calculations</t>
  </si>
  <si>
    <t>Non-Uniform Flow Surface Profiles</t>
  </si>
  <si>
    <t>Nonuniform flow | Surface profiles | Open channel flow</t>
  </si>
  <si>
    <t>https://www.accessengineeringlibrary.com/content/calculator/S0034_Non-Uniform_Flow_Surface_Profiles</t>
  </si>
  <si>
    <t>Gas Flow Orifice Meter Calculations</t>
  </si>
  <si>
    <t>Orifice meters | Pipe flow | Static pressure | Gas pressure | Fluid dynamics | Flow rate measurement</t>
  </si>
  <si>
    <t>https://www.accessengineeringlibrary.com/content/calculator/S0024_Gas_Flow_Orifice_Meter_Calculations</t>
  </si>
  <si>
    <t>Control System Analysis</t>
  </si>
  <si>
    <t>Nourdine Aliane, Ph.D.</t>
  </si>
  <si>
    <t>Systems analysis | Control systems | System stability | Step response | Steady state error | Frequency stability</t>
  </si>
  <si>
    <t>https://www.accessengineeringlibrary.com/content/calculator/S0050_Control_System_Analysis</t>
  </si>
  <si>
    <t>Analysis of a Cantilever Beam</t>
  </si>
  <si>
    <t>https://www.accessengineeringlibrary.com/content/calculator/S0013_Analysis_of_a_Cantilever_Beam</t>
  </si>
  <si>
    <t>Incompressible Annulus and Duct Flow Calculations</t>
  </si>
  <si>
    <t>Incompressible flow | Flow rate | Pressure drop | Viscous fluids | Turbulent flow | Moody friction factor</t>
  </si>
  <si>
    <t>https://www.accessengineeringlibrary.com/content/calculator/S0016_Incompressible_Annulus_and_Duct_Flow_Calculations</t>
  </si>
  <si>
    <t>Continuous 2-span Beam Calculations</t>
  </si>
  <si>
    <t>Shear diagrams | Polynomials | Elastic modulus | Deflection | Continuous beams | Bending moment diagrams</t>
  </si>
  <si>
    <t>https://www.accessengineeringlibrary.com/content/calculator/S0032_Continuous_2-span_Beam_Calculations</t>
  </si>
  <si>
    <t>Control System Design</t>
  </si>
  <si>
    <t>Control system design | PID controllers | Root locus method | Observer | Frequency response | Frequency control</t>
  </si>
  <si>
    <t>https://www.accessengineeringlibrary.com/content/calculator/S0051_Control_System_Design</t>
  </si>
  <si>
    <t>Analysis of a Simply Supported Beam</t>
  </si>
  <si>
    <t>Structural beams | Shear diagrams | Shear deflection | Polynomials | Elastic modulus | Deflection</t>
  </si>
  <si>
    <t>https://www.accessengineeringlibrary.com/content/calculator/S0002_Analysis_of_a_Simply_Supported_Beam</t>
  </si>
  <si>
    <t>Reinforced Concrete Columns</t>
  </si>
  <si>
    <t>Mustafa Mahamid, Ph.D., S.E., P.E.</t>
  </si>
  <si>
    <t>Reinforced concrete columns | Rectangular columns | Axial load | Load capacity | Interaction diagrams | Column design</t>
  </si>
  <si>
    <t>https://www.accessengineeringlibrary.com/content/calculator/S0037_Reinforced_Concrete_Columns</t>
  </si>
  <si>
    <t>Field Oxygen Transfer Efficiency and Aeration Diffuser Calculations</t>
  </si>
  <si>
    <t>Henry V. Mott, Ph.D., P.E.</t>
  </si>
  <si>
    <t>Oxygen transfer efficiency | Diffused aeration | Actual oxygen transfer efficiency | Standard oxygen transfer efficiency | Gas flow rate | Atmospheric science</t>
  </si>
  <si>
    <t>https://www.accessengineeringlibrary.com/content/calculator/S0026_Field_Oxygen_Transfer_Efficiency_and_Aeration_Diffuser_Calculations</t>
  </si>
  <si>
    <t>Partially Full Pipe Flow Calculations-Viscous Liquids</t>
  </si>
  <si>
    <t>Pipe flow | Viscous fluids | Viscous flow | Well water | Water viscosity | Flow rate</t>
  </si>
  <si>
    <t>https://www.accessengineeringlibrary.com/content/calculator/S0048_Partially_Full_Pipe_Flow_Calculations_Viscous_Liquids</t>
  </si>
  <si>
    <t>Overhang Beam Calculations</t>
  </si>
  <si>
    <t>Overhanging beams | Shear diagrams | Polynomials | Elastic modulus | Deflection | Bending moment diagrams</t>
  </si>
  <si>
    <t>https://www.accessengineeringlibrary.com/content/calculator/S0033_Overhang_Beam_Calculations</t>
  </si>
  <si>
    <t>Compressible Flow of Air in Non-Circular Ducts</t>
  </si>
  <si>
    <t>Compressible flow | Pressure drop | Incompressible flow | Flow rate | Moody friction factor | Friction factors</t>
  </si>
  <si>
    <t>https://www.accessengineeringlibrary.com/content/calculator/S0015_Compressible_Flow_of_Air_in_Non_Circular_Ducts</t>
  </si>
  <si>
    <t>Lime Soda Water Softening</t>
  </si>
  <si>
    <t>Lime soda softening | Water hardness | Flow rate | Chemicals | Water softening | Carbon dioxide</t>
  </si>
  <si>
    <t>https://www.accessengineeringlibrary.com/content/calculator/S0007_Lime_Soda_Water_Softening</t>
  </si>
  <si>
    <t>MBBR Nitrification-Denitrification Calculations</t>
  </si>
  <si>
    <t>Nitrification | Membrane bioreactors | Denitrification | Activated sludge process design | Wastewater treatment | Volume</t>
  </si>
  <si>
    <t>https://www.accessengineeringlibrary.com/content/calculator/S0029_MBBR_Nitrification_Denitrification_Calculations</t>
  </si>
  <si>
    <t>MBBR Wastewater Treatment Basin Sizing and Aeration Calculations</t>
  </si>
  <si>
    <t>Wastewater treatment | Membrane bioreactors | Aeration systems | Activated sludge process design | Volume | Aeration tanks</t>
  </si>
  <si>
    <t>https://www.accessengineeringlibrary.com/content/calculator/S0020_MBBR_Wastewater_Treatment_Basin_Sizing_and_Aeration_Calculations</t>
  </si>
  <si>
    <t>SBR Wastewater Treatment Design Calculations</t>
  </si>
  <si>
    <t>Sequencing batch reactors | Wastewater treatment | Nitrification | Wastewater | Rectangular tanks | Denitrification</t>
  </si>
  <si>
    <t>https://www.accessengineeringlibrary.com/content/calculator/S0027_SBR_Wastewater_Treatment_Design_Calculations</t>
  </si>
  <si>
    <t>Thermal Design of Double Pipe Heat Exchangers</t>
  </si>
  <si>
    <t>Heat exchanger design | Double pipe heat exchangers | Pipe design | Heat transfer | Temperature coefficients | Heat transfer coefficients</t>
  </si>
  <si>
    <t>https://www.accessengineeringlibrary.com/content/calculator/S0011_Thermal_Design_of_Double_Pipe_Heat_Exchangers</t>
  </si>
  <si>
    <t>Incompressible Orifice Flow Meter Calculations</t>
  </si>
  <si>
    <t>Pipe flow | Flow meters | Static pressure | Fluid dynamics | Flow rate measurement | Pressure measurement</t>
  </si>
  <si>
    <t>https://www.accessengineeringlibrary.com/content/calculator/S0021_Incompressible_Orifice_Flow_Meter_Calculations</t>
  </si>
  <si>
    <t>Activated Sludge Aeration Tank Calculations</t>
  </si>
  <si>
    <t>Aeration tanks | Activated sludge systems | Activated sludge flow | Volume | Solids residence time | Activated sludge parameters</t>
  </si>
  <si>
    <t>https://www.accessengineeringlibrary.com/content/calculator/S0001_Activated_Sludge_Aeration_Tank_Calculations</t>
  </si>
  <si>
    <t>Partially Full Pipe Flow Calculations</t>
  </si>
  <si>
    <t>Pipe flow | Trigonometric functions | Storm sewers | Roughness | Open channel flow | Flow velocity</t>
  </si>
  <si>
    <t>https://www.accessengineeringlibrary.com/content/calculator/S0009_Partially_Full_Pipe_Flow_Calculations</t>
  </si>
  <si>
    <t>UASB Wastewater Treatment Design Calculations</t>
  </si>
  <si>
    <t>Wastewater treatment | Volume | Stoichiometry | Sewage sludge | Methane | Kinetics</t>
  </si>
  <si>
    <t>https://www.accessengineeringlibrary.com/content/calculator/S0041_UASB_Wastewater_Treatment_Design_Calculations</t>
  </si>
  <si>
    <t>D.O. Sag Equation Calculations</t>
  </si>
  <si>
    <t>Dissolved oxygen sag</t>
  </si>
  <si>
    <t>https://www.accessengineeringlibrary.com/content/calculator/S0056_D_O_Sag_Equation_Calculations</t>
  </si>
  <si>
    <t>Incompressible Flow in Pipes and Channels</t>
  </si>
  <si>
    <t>Pipe flow | Incompressible flow | Fanning friction factor | Moody friction factor | Turbulent flow | Laminar flow</t>
  </si>
  <si>
    <t>https://www.accessengineeringlibrary.com/content/calculator/S0006_Incompressible_Flow_in_Pipes_and_Channels</t>
  </si>
  <si>
    <t>Forced Convection Heat Transfer Coefficients</t>
  </si>
  <si>
    <t>Forced convection heat transfer coefficient | Turbulent flow | Pipes | Convective heat transfer | Laminar flow | Heat transfer</t>
  </si>
  <si>
    <t>https://www.accessengineeringlibrary.com/content/calculator/S0005_Forced_Convection_Heat_Transfer_Coefficients</t>
  </si>
  <si>
    <t>Dissolved Oxygen Solubility Calculator</t>
  </si>
  <si>
    <t>Solubility | Atmospheric pressure</t>
  </si>
  <si>
    <t>https://www.accessengineeringlibrary.com/content/calculator/S0055_Dissolved_Oxygen_Solubility_Calculator</t>
  </si>
  <si>
    <t>Circular Culvert Design Calculations</t>
  </si>
  <si>
    <t>Culverts</t>
  </si>
  <si>
    <t>https://www.accessengineeringlibrary.com/content/calculator/S0047_Circular_Culvert_Design_Calculations</t>
  </si>
  <si>
    <t>Reinforced Concrete Beam Deflection</t>
  </si>
  <si>
    <t>Reinforced concrete beams | Deflection | Long term deflection | Beam deflection | Geometric properties of areas | Design requirements</t>
  </si>
  <si>
    <t>https://www.accessengineeringlibrary.com/content/calculator/S0036_Reinforced_Concrete_Beam_Deflection</t>
  </si>
  <si>
    <t>Mininum Required Pipe Wall Thickness and Maximum Allowable Working Pressure (MAWP)</t>
  </si>
  <si>
    <t>Pipes | Maximum allowable working pressure | Thermal stresses | Thermal properties | Temperature coefficients | Pipe stress</t>
  </si>
  <si>
    <t>https://www.accessengineeringlibrary.com/content/calculator/S0038_Mininum_Required_Pipe_Wall_Thickness_and_Maximum_Allowable_Working_Pressure_MAWP</t>
  </si>
  <si>
    <t>Inductance, Capacitance, Resonance and Time Constants - Basic Calculations</t>
  </si>
  <si>
    <t>William Prudhomme, B.S.E.E.</t>
  </si>
  <si>
    <t>Inductance | Capacitance | Time constant | Resonance | Reactance | Circuit design</t>
  </si>
  <si>
    <t>https://www.accessengineeringlibrary.com/content/calculator/S0019_Inductance_Capacitance_Resonance_and_Time_Constants_Basic_Calculations</t>
  </si>
  <si>
    <t>Analysis of a Fixed-Fixed Beam</t>
  </si>
  <si>
    <t>https://www.accessengineeringlibrary.com/content/calculator/S0025_Analysis_of_a_Fixed_Fixed_Beam</t>
  </si>
  <si>
    <t>Liquid-Liquid Extraction Solvent Screening</t>
  </si>
  <si>
    <t>Liquid liquid extraction | Solvents</t>
  </si>
  <si>
    <t>https://www.accessengineeringlibrary.com/content/calculator/S0022_Liquid_Liquid_Extraction_Solvent_Screening</t>
  </si>
  <si>
    <t>Peak Stormwater Runoff Calculation with the Rational Method</t>
  </si>
  <si>
    <t>Stormwater runoff | Rational method | Watershed areas | Steel | Design storm | Kinematics</t>
  </si>
  <si>
    <t>https://www.accessengineeringlibrary.com/content/calculator/S0010_Peak_Stormwater_Runoff_Calculation_with_the_Rational_Method</t>
  </si>
  <si>
    <t>Solubility of Gases in Water</t>
  </si>
  <si>
    <t>Solubility | Gases | Molecular weights | Henrys law | Partial pressure</t>
  </si>
  <si>
    <t>https://www.accessengineeringlibrary.com/content/calculator/S0053_Solubility_of_Gases_in_Water</t>
  </si>
  <si>
    <t>Flow Rate through Parshall Flume</t>
  </si>
  <si>
    <t>Flow rate | Parshall flume | Flow rate measurement</t>
  </si>
  <si>
    <t>https://www.accessengineeringlibrary.com/content/calculator/S0054_Flow_Rate_through_Parshall_Flume</t>
  </si>
  <si>
    <t>Stress Transformation Calculations</t>
  </si>
  <si>
    <t>Stress transformation | Shear stress | Principal stress | Plane stress</t>
  </si>
  <si>
    <t>https://www.accessengineeringlibrary.com/content/calculator/S0030_Stress_Transformation_Calculations</t>
  </si>
  <si>
    <t>Compressibility Factor Calculations</t>
  </si>
  <si>
    <t>Compressibility factor | Critical temperature | Critical pressure | Gas pressure | Equations of state | Ideal gas law</t>
  </si>
  <si>
    <t>https://www.accessengineeringlibrary.com/content/calculator/S0035_Compressibility_Factor_Calculator_Final_Protected</t>
  </si>
  <si>
    <t>Dissolved Air Flotation Design Calculations</t>
  </si>
  <si>
    <t>Dissolved air flotation | Load flow | Hydraulic loads | Wastewater | Suspended solids | Sludge treatment</t>
  </si>
  <si>
    <t>https://www.accessengineeringlibrary.com/content/calculator/S0039_Dissolved_Air_Flotation_Design_Calculations</t>
  </si>
  <si>
    <t>Lamella (Inclined Plate) Clarifier</t>
  </si>
  <si>
    <t>Inclined plate settling | Hydraulic residence time | Weirs | Wastewater | Reynolds number | Fluid density</t>
  </si>
  <si>
    <t>https://www.accessengineeringlibrary.com/content/calculator/S0057_Lamella_Inclined_Plate_Clarifier</t>
  </si>
  <si>
    <t>Analysis of A.C. and D.C. Circuits - Basic Calculations</t>
  </si>
  <si>
    <t>Circuits | Circuit design | RLC circuits | Impedance | Reactive power | Apparent power</t>
  </si>
  <si>
    <t>https://www.accessengineeringlibrary.com/content/calculator/S0018_Analysis_of_AC_and_DC_Circuits_Basic_Calculations</t>
  </si>
  <si>
    <t>Uniform Open Channel Flow (Manning Equation)</t>
  </si>
  <si>
    <t>Open channel flow | Uniform flow | Hydraulic diameter | Flow velocity | Flow rate</t>
  </si>
  <si>
    <t>https://www.accessengineeringlibrary.com/content/calculator/S0012_Uniform_Open_Channel_Flow_Manning_Equation</t>
  </si>
  <si>
    <t>Hazen-Williams Pipe Flow Calculations</t>
  </si>
  <si>
    <t>Pipe flow | Pressure drop | Flow rate | Static pressure</t>
  </si>
  <si>
    <t>https://www.accessengineeringlibrary.com/content/calculator/S0046_Hazen-Williams_Pipe_Flow_Calculations</t>
  </si>
  <si>
    <t>Compressible (Fanno Flow) of Air in a Pipe</t>
  </si>
  <si>
    <t>Compressible flow | Pipe flow | Incompressible flow | Adiabatic flow | Pressure drop | Moody friction factor</t>
  </si>
  <si>
    <t>https://www.accessengineeringlibrary.com/content/calculator/S0003_Compressible_Fanno_Flow_of_Air_in_a_Pipe</t>
  </si>
  <si>
    <t>Natural Gas Pipeline Flow Calculations</t>
  </si>
  <si>
    <t>Natural gas pipelines | Gas pressure | Pipe flow | Natural gas | Static pressure | Specific viscosity</t>
  </si>
  <si>
    <t>https://www.accessengineeringlibrary.com/content/calculator/S0017_Natural_Gas_Pipeline_Flow_Calculations</t>
  </si>
  <si>
    <t>Antennas and Transmission Lines - Basic Calculations</t>
  </si>
  <si>
    <t>Antennas | Inductance | Circuit design | Voltage | Impedance | Resonant frequency</t>
  </si>
  <si>
    <t>https://www.accessengineeringlibrary.com/content/calculator/S0023_Antennas_and_Transmission_Lines_Basic_Calculations</t>
  </si>
  <si>
    <t>Broad-Crested Weir Calculations</t>
  </si>
  <si>
    <t>Broad crested weirs | Weirs | Flow rate</t>
  </si>
  <si>
    <t>https://www.accessengineeringlibrary.com/content/calculator/S0052_Broad_Crested_Weir_Calculations</t>
  </si>
  <si>
    <t>Venturi Meter Liquid Flow Calculations</t>
  </si>
  <si>
    <t>Fluid dynamics | Venturi meters | Pipe flow | Pressure drop | Fluid properties | Flow rate measurement</t>
  </si>
  <si>
    <t>https://www.accessengineeringlibrary.com/content/calculator/S0031_Venturi_Meter_Calculations</t>
  </si>
  <si>
    <t>Natural Convection Heat Transfer Coefficients</t>
  </si>
  <si>
    <t>Natural convection heat transfer coefficient | Fluid properties | Convective heat transfer | Surface hardening | Natural convection | Heat transfer</t>
  </si>
  <si>
    <t>https://www.accessengineeringlibrary.com/content/calculator/S0008_Natural_Convection_Heat_Transfer_Coefficients</t>
  </si>
  <si>
    <t>Rain Loads</t>
  </si>
  <si>
    <t>David A. Fanella, Ph.D., S.E., P.E.</t>
  </si>
  <si>
    <t>Roofing | International building code | Loads</t>
  </si>
  <si>
    <t>https://www.accessengineeringlibrary.com/content/calculator/S0058_Rain_Loads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</si>
</sst>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2" borderId="0" xfId="1" applyFont="1" applyFill="1"/>
    <xf numFmtId="0" fontId="1" fillId="0" borderId="0" xfId="1"/>
    <xf numFmtId="14" fontId="1" fillId="0" borderId="0" xfId="1" applyNumberFormat="1"/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859"/>
  <sheetViews>
    <sheetView tabSelected="1" workbookViewId="0">
      <pane ySplit="1" topLeftCell="A2" activePane="bottomLeft" state="frozen"/>
      <selection pane="bottomLeft" activeCell="C31" sqref="C31"/>
    </sheetView>
  </sheetViews>
  <sheetFormatPr defaultRowHeight="15" x14ac:dyDescent="0.25"/>
  <cols>
    <col min="1" max="1" width="11.140625" style="2" customWidth="1"/>
    <col min="2" max="2" width="9.140625" style="2"/>
    <col min="3" max="3" width="54.85546875" style="2" customWidth="1"/>
    <col min="4" max="4" width="11.140625" style="2" customWidth="1"/>
    <col min="5" max="5" width="33.7109375" style="2" customWidth="1"/>
    <col min="6" max="6" width="9.140625" style="2"/>
    <col min="7" max="7" width="10.140625" style="2" bestFit="1" customWidth="1"/>
    <col min="8" max="8" width="38.42578125" style="2" customWidth="1"/>
    <col min="9" max="9" width="13.42578125" style="2" customWidth="1"/>
    <col min="10" max="10" width="66.7109375" style="2" customWidth="1"/>
    <col min="11" max="16384" width="9.140625" style="2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 t="s">
        <v>10</v>
      </c>
      <c r="B2" s="2" t="str">
        <f>"9780070045316"</f>
        <v>9780070045316</v>
      </c>
      <c r="C2" s="2" t="s">
        <v>11</v>
      </c>
      <c r="D2" s="2" t="s">
        <v>12</v>
      </c>
      <c r="E2" s="2" t="s">
        <v>13</v>
      </c>
      <c r="F2" s="2">
        <v>1981</v>
      </c>
      <c r="G2" s="3">
        <v>42181</v>
      </c>
      <c r="H2" s="2" t="s">
        <v>14</v>
      </c>
      <c r="I2" s="2" t="s">
        <v>15</v>
      </c>
      <c r="J2" s="2" t="s">
        <v>16</v>
      </c>
    </row>
    <row r="3" spans="1:10" x14ac:dyDescent="0.25">
      <c r="A3" s="2" t="s">
        <v>10</v>
      </c>
      <c r="B3" s="2" t="str">
        <f>"9780070063112"</f>
        <v>9780070063112</v>
      </c>
      <c r="C3" s="2" t="s">
        <v>17</v>
      </c>
      <c r="D3" s="2" t="s">
        <v>18</v>
      </c>
      <c r="E3" s="2" t="s">
        <v>13</v>
      </c>
      <c r="F3" s="2">
        <v>2001</v>
      </c>
      <c r="G3" s="3">
        <v>40909</v>
      </c>
      <c r="H3" s="2" t="s">
        <v>19</v>
      </c>
      <c r="I3" s="2" t="s">
        <v>15</v>
      </c>
      <c r="J3" s="2" t="s">
        <v>20</v>
      </c>
    </row>
    <row r="4" spans="1:10" x14ac:dyDescent="0.25">
      <c r="A4" s="2" t="s">
        <v>10</v>
      </c>
      <c r="B4" s="2" t="str">
        <f>"9780070067066"</f>
        <v>9780070067066</v>
      </c>
      <c r="C4" s="2" t="s">
        <v>21</v>
      </c>
      <c r="D4" s="2" t="s">
        <v>22</v>
      </c>
      <c r="E4" s="2" t="s">
        <v>13</v>
      </c>
      <c r="F4" s="2">
        <v>2001</v>
      </c>
      <c r="G4" s="3">
        <v>40909</v>
      </c>
      <c r="H4" s="2" t="s">
        <v>23</v>
      </c>
      <c r="I4" s="2" t="s">
        <v>15</v>
      </c>
      <c r="J4" s="2" t="s">
        <v>24</v>
      </c>
    </row>
    <row r="5" spans="1:10" x14ac:dyDescent="0.25">
      <c r="A5" s="2" t="s">
        <v>10</v>
      </c>
      <c r="B5" s="2" t="str">
        <f>"9780070067172"</f>
        <v>9780070067172</v>
      </c>
      <c r="C5" s="2" t="s">
        <v>25</v>
      </c>
      <c r="D5" s="2" t="s">
        <v>26</v>
      </c>
      <c r="E5" s="2" t="s">
        <v>13</v>
      </c>
      <c r="F5" s="2">
        <v>2001</v>
      </c>
      <c r="G5" s="3">
        <v>40909</v>
      </c>
      <c r="H5" s="2" t="s">
        <v>27</v>
      </c>
      <c r="I5" s="2" t="s">
        <v>15</v>
      </c>
      <c r="J5" s="2" t="s">
        <v>28</v>
      </c>
    </row>
    <row r="6" spans="1:10" x14ac:dyDescent="0.25">
      <c r="A6" s="2" t="s">
        <v>10</v>
      </c>
      <c r="B6" s="2" t="str">
        <f>"9780070071391"</f>
        <v>9780070071391</v>
      </c>
      <c r="C6" s="2" t="s">
        <v>29</v>
      </c>
      <c r="D6" s="2" t="s">
        <v>30</v>
      </c>
      <c r="E6" s="2" t="s">
        <v>13</v>
      </c>
      <c r="F6" s="2" t="s">
        <v>31</v>
      </c>
      <c r="G6" s="3">
        <v>40909</v>
      </c>
      <c r="H6" s="2" t="s">
        <v>32</v>
      </c>
      <c r="I6" s="2" t="s">
        <v>15</v>
      </c>
      <c r="J6" s="2" t="s">
        <v>33</v>
      </c>
    </row>
    <row r="7" spans="1:10" x14ac:dyDescent="0.25">
      <c r="A7" s="2" t="s">
        <v>10</v>
      </c>
      <c r="B7" s="2" t="str">
        <f>"9780070077911"</f>
        <v>9780070077911</v>
      </c>
      <c r="C7" s="2" t="s">
        <v>34</v>
      </c>
      <c r="D7" s="2" t="s">
        <v>35</v>
      </c>
      <c r="E7" s="2" t="s">
        <v>13</v>
      </c>
      <c r="F7" s="2">
        <v>2010</v>
      </c>
      <c r="G7" s="3">
        <v>41941</v>
      </c>
      <c r="H7" s="2" t="s">
        <v>36</v>
      </c>
      <c r="I7" s="2" t="s">
        <v>15</v>
      </c>
      <c r="J7" s="2" t="s">
        <v>37</v>
      </c>
    </row>
    <row r="8" spans="1:10" x14ac:dyDescent="0.25">
      <c r="A8" s="2" t="s">
        <v>10</v>
      </c>
      <c r="B8" s="2" t="str">
        <f>"9780070116825"</f>
        <v>9780070116825</v>
      </c>
      <c r="C8" s="2" t="s">
        <v>38</v>
      </c>
      <c r="D8" s="2" t="s">
        <v>39</v>
      </c>
      <c r="E8" s="2" t="s">
        <v>13</v>
      </c>
      <c r="F8" s="2">
        <v>2001</v>
      </c>
      <c r="G8" s="3">
        <v>40909</v>
      </c>
      <c r="H8" s="2" t="s">
        <v>40</v>
      </c>
      <c r="I8" s="2" t="s">
        <v>15</v>
      </c>
      <c r="J8" s="2" t="s">
        <v>41</v>
      </c>
    </row>
    <row r="9" spans="1:10" hidden="1" x14ac:dyDescent="0.25">
      <c r="A9" s="2" t="s">
        <v>10</v>
      </c>
      <c r="B9" s="2" t="str">
        <f>"9780070125827"</f>
        <v>9780070125827</v>
      </c>
      <c r="C9" s="2" t="s">
        <v>42</v>
      </c>
      <c r="D9" s="2" t="s">
        <v>43</v>
      </c>
      <c r="E9" s="2" t="s">
        <v>13</v>
      </c>
      <c r="F9" s="2">
        <v>1999</v>
      </c>
      <c r="G9" s="3">
        <v>41367</v>
      </c>
      <c r="I9" s="2" t="s">
        <v>44</v>
      </c>
      <c r="J9" s="2" t="s">
        <v>45</v>
      </c>
    </row>
    <row r="10" spans="1:10" x14ac:dyDescent="0.25">
      <c r="A10" s="2" t="s">
        <v>10</v>
      </c>
      <c r="B10" s="2" t="str">
        <f>"9780070126176"</f>
        <v>9780070126176</v>
      </c>
      <c r="C10" s="2" t="s">
        <v>46</v>
      </c>
      <c r="D10" s="2" t="s">
        <v>47</v>
      </c>
      <c r="E10" s="2" t="s">
        <v>13</v>
      </c>
      <c r="F10" s="2">
        <v>1998</v>
      </c>
      <c r="G10" s="3">
        <v>40909</v>
      </c>
      <c r="H10" s="2" t="s">
        <v>48</v>
      </c>
      <c r="I10" s="2" t="s">
        <v>15</v>
      </c>
      <c r="J10" s="2" t="s">
        <v>49</v>
      </c>
    </row>
    <row r="11" spans="1:10" x14ac:dyDescent="0.25">
      <c r="A11" s="2" t="s">
        <v>10</v>
      </c>
      <c r="B11" s="2" t="str">
        <f>"9780070126183"</f>
        <v>9780070126183</v>
      </c>
      <c r="C11" s="2" t="s">
        <v>50</v>
      </c>
      <c r="D11" s="2" t="s">
        <v>51</v>
      </c>
      <c r="E11" s="2" t="s">
        <v>13</v>
      </c>
      <c r="F11" s="2">
        <v>2000</v>
      </c>
      <c r="G11" s="3">
        <v>40909</v>
      </c>
      <c r="H11" s="2" t="s">
        <v>52</v>
      </c>
      <c r="I11" s="2" t="s">
        <v>15</v>
      </c>
      <c r="J11" s="2" t="s">
        <v>53</v>
      </c>
    </row>
    <row r="12" spans="1:10" x14ac:dyDescent="0.25">
      <c r="A12" s="2" t="s">
        <v>10</v>
      </c>
      <c r="B12" s="2" t="str">
        <f>"9780070131606"</f>
        <v>9780070131606</v>
      </c>
      <c r="C12" s="2" t="s">
        <v>54</v>
      </c>
      <c r="D12" s="2" t="s">
        <v>55</v>
      </c>
      <c r="E12" s="2" t="s">
        <v>13</v>
      </c>
      <c r="F12" s="2">
        <v>1999</v>
      </c>
      <c r="G12" s="3">
        <v>41367</v>
      </c>
      <c r="H12" s="2" t="s">
        <v>56</v>
      </c>
      <c r="I12" s="2" t="s">
        <v>15</v>
      </c>
      <c r="J12" s="2" t="s">
        <v>57</v>
      </c>
    </row>
    <row r="13" spans="1:10" x14ac:dyDescent="0.25">
      <c r="A13" s="2" t="s">
        <v>10</v>
      </c>
      <c r="B13" s="2" t="str">
        <f>"9780070144552"</f>
        <v>9780070144552</v>
      </c>
      <c r="C13" s="2" t="s">
        <v>58</v>
      </c>
      <c r="D13" s="2" t="s">
        <v>59</v>
      </c>
      <c r="E13" s="2" t="s">
        <v>13</v>
      </c>
      <c r="F13" s="2">
        <v>2011</v>
      </c>
      <c r="G13" s="3">
        <v>41999</v>
      </c>
      <c r="H13" s="2" t="s">
        <v>60</v>
      </c>
      <c r="I13" s="2" t="s">
        <v>15</v>
      </c>
      <c r="J13" s="2" t="s">
        <v>61</v>
      </c>
    </row>
    <row r="14" spans="1:10" x14ac:dyDescent="0.25">
      <c r="A14" s="2" t="s">
        <v>10</v>
      </c>
      <c r="B14" s="2" t="str">
        <f>"9780070144569"</f>
        <v>9780070144569</v>
      </c>
      <c r="C14" s="2" t="s">
        <v>62</v>
      </c>
      <c r="D14" s="2" t="s">
        <v>63</v>
      </c>
      <c r="E14" s="2" t="s">
        <v>13</v>
      </c>
      <c r="F14" s="2">
        <v>2010</v>
      </c>
      <c r="G14" s="3">
        <v>41941</v>
      </c>
      <c r="H14" s="2" t="s">
        <v>64</v>
      </c>
      <c r="I14" s="2" t="s">
        <v>15</v>
      </c>
      <c r="J14" s="2" t="s">
        <v>65</v>
      </c>
    </row>
    <row r="15" spans="1:10" x14ac:dyDescent="0.25">
      <c r="A15" s="2" t="s">
        <v>10</v>
      </c>
      <c r="B15" s="2" t="str">
        <f>"9780070148789"</f>
        <v>9780070148789</v>
      </c>
      <c r="C15" s="2" t="s">
        <v>66</v>
      </c>
      <c r="D15" s="2" t="s">
        <v>67</v>
      </c>
      <c r="E15" s="2" t="s">
        <v>13</v>
      </c>
      <c r="F15" s="2">
        <v>2010</v>
      </c>
      <c r="G15" s="3">
        <v>41941</v>
      </c>
      <c r="H15" s="2" t="s">
        <v>68</v>
      </c>
      <c r="I15" s="2" t="s">
        <v>15</v>
      </c>
      <c r="J15" s="2" t="s">
        <v>69</v>
      </c>
    </row>
    <row r="16" spans="1:10" x14ac:dyDescent="0.25">
      <c r="A16" s="2" t="s">
        <v>10</v>
      </c>
      <c r="B16" s="2" t="str">
        <f>"9780070181311"</f>
        <v>9780070181311</v>
      </c>
      <c r="C16" s="2" t="s">
        <v>70</v>
      </c>
      <c r="D16" s="2" t="s">
        <v>71</v>
      </c>
      <c r="E16" s="2" t="s">
        <v>13</v>
      </c>
      <c r="F16" s="2">
        <v>1999</v>
      </c>
      <c r="G16" s="3">
        <v>41773</v>
      </c>
      <c r="H16" s="2" t="s">
        <v>72</v>
      </c>
      <c r="I16" s="2" t="s">
        <v>15</v>
      </c>
      <c r="J16" s="2" t="s">
        <v>73</v>
      </c>
    </row>
    <row r="17" spans="1:10" x14ac:dyDescent="0.25">
      <c r="A17" s="2" t="s">
        <v>10</v>
      </c>
      <c r="B17" s="2" t="str">
        <f>"9780070267145"</f>
        <v>9780070267145</v>
      </c>
      <c r="C17" s="2" t="s">
        <v>74</v>
      </c>
      <c r="D17" s="2" t="s">
        <v>75</v>
      </c>
      <c r="E17" s="2" t="s">
        <v>13</v>
      </c>
      <c r="F17" s="2">
        <v>2000</v>
      </c>
      <c r="G17" s="3">
        <v>40909</v>
      </c>
      <c r="H17" s="2" t="s">
        <v>76</v>
      </c>
      <c r="I17" s="2" t="s">
        <v>15</v>
      </c>
      <c r="J17" s="2" t="s">
        <v>77</v>
      </c>
    </row>
    <row r="18" spans="1:10" x14ac:dyDescent="0.25">
      <c r="A18" s="2" t="s">
        <v>10</v>
      </c>
      <c r="B18" s="2" t="str">
        <f>"9780070276895"</f>
        <v>9780070276895</v>
      </c>
      <c r="C18" s="2" t="s">
        <v>78</v>
      </c>
      <c r="D18" s="2" t="s">
        <v>79</v>
      </c>
      <c r="E18" s="2" t="s">
        <v>13</v>
      </c>
      <c r="F18" s="2">
        <v>2002</v>
      </c>
      <c r="G18" s="3">
        <v>40909</v>
      </c>
      <c r="H18" s="2" t="s">
        <v>80</v>
      </c>
      <c r="I18" s="2" t="s">
        <v>15</v>
      </c>
      <c r="J18" s="2" t="s">
        <v>81</v>
      </c>
    </row>
    <row r="19" spans="1:10" x14ac:dyDescent="0.25">
      <c r="A19" s="2" t="s">
        <v>10</v>
      </c>
      <c r="B19" s="2" t="str">
        <f>"9780070349094"</f>
        <v>9780070349094</v>
      </c>
      <c r="C19" s="2" t="s">
        <v>82</v>
      </c>
      <c r="D19" s="2" t="s">
        <v>83</v>
      </c>
      <c r="E19" s="2" t="s">
        <v>13</v>
      </c>
      <c r="F19" s="2">
        <v>1992</v>
      </c>
      <c r="G19" s="3">
        <v>41509</v>
      </c>
      <c r="H19" s="2" t="s">
        <v>84</v>
      </c>
      <c r="I19" s="2" t="s">
        <v>15</v>
      </c>
      <c r="J19" s="2" t="s">
        <v>85</v>
      </c>
    </row>
    <row r="20" spans="1:10" x14ac:dyDescent="0.25">
      <c r="A20" s="2" t="s">
        <v>10</v>
      </c>
      <c r="B20" s="2" t="str">
        <f>"9780070349100"</f>
        <v>9780070349100</v>
      </c>
      <c r="C20" s="2" t="s">
        <v>86</v>
      </c>
      <c r="D20" s="2" t="s">
        <v>83</v>
      </c>
      <c r="E20" s="2" t="s">
        <v>13</v>
      </c>
      <c r="F20" s="2">
        <v>1990</v>
      </c>
      <c r="G20" s="3">
        <v>41544</v>
      </c>
      <c r="H20" s="2" t="s">
        <v>87</v>
      </c>
      <c r="I20" s="2" t="s">
        <v>15</v>
      </c>
      <c r="J20" s="2" t="s">
        <v>88</v>
      </c>
    </row>
    <row r="21" spans="1:10" x14ac:dyDescent="0.25">
      <c r="A21" s="2" t="s">
        <v>10</v>
      </c>
      <c r="B21" s="2" t="str">
        <f>"9780070359710"</f>
        <v>9780070359710</v>
      </c>
      <c r="C21" s="2" t="s">
        <v>89</v>
      </c>
      <c r="D21" s="2" t="s">
        <v>90</v>
      </c>
      <c r="E21" s="2" t="s">
        <v>13</v>
      </c>
      <c r="F21" s="2">
        <v>1998</v>
      </c>
      <c r="G21" s="3">
        <v>40909</v>
      </c>
      <c r="H21" s="2" t="s">
        <v>91</v>
      </c>
      <c r="I21" s="2" t="s">
        <v>15</v>
      </c>
      <c r="J21" s="2" t="s">
        <v>92</v>
      </c>
    </row>
    <row r="22" spans="1:10" x14ac:dyDescent="0.25">
      <c r="A22" s="2" t="s">
        <v>10</v>
      </c>
      <c r="B22" s="2" t="str">
        <f>"9780070371033"</f>
        <v>9780070371033</v>
      </c>
      <c r="C22" s="2" t="s">
        <v>93</v>
      </c>
      <c r="D22" s="2" t="s">
        <v>94</v>
      </c>
      <c r="E22" s="2" t="s">
        <v>13</v>
      </c>
      <c r="F22" s="2">
        <v>1998</v>
      </c>
      <c r="G22" s="3">
        <v>40909</v>
      </c>
      <c r="H22" s="2" t="s">
        <v>95</v>
      </c>
      <c r="I22" s="2" t="s">
        <v>15</v>
      </c>
      <c r="J22" s="2" t="s">
        <v>96</v>
      </c>
    </row>
    <row r="23" spans="1:10" x14ac:dyDescent="0.25">
      <c r="A23" s="2" t="s">
        <v>10</v>
      </c>
      <c r="B23" s="2" t="str">
        <f>"9780070383654"</f>
        <v>9780070383654</v>
      </c>
      <c r="C23" s="2" t="s">
        <v>97</v>
      </c>
      <c r="D23" s="2" t="s">
        <v>98</v>
      </c>
      <c r="E23" s="2" t="s">
        <v>13</v>
      </c>
      <c r="F23" s="2">
        <v>1999</v>
      </c>
      <c r="G23" s="3">
        <v>40909</v>
      </c>
      <c r="H23" s="2" t="s">
        <v>99</v>
      </c>
      <c r="I23" s="2" t="s">
        <v>15</v>
      </c>
      <c r="J23" s="2" t="s">
        <v>100</v>
      </c>
    </row>
    <row r="24" spans="1:10" x14ac:dyDescent="0.25">
      <c r="A24" s="2" t="s">
        <v>10</v>
      </c>
      <c r="B24" s="2" t="str">
        <f>"9780070410442"</f>
        <v>9780070410442</v>
      </c>
      <c r="C24" s="2" t="s">
        <v>101</v>
      </c>
      <c r="D24" s="2" t="s">
        <v>102</v>
      </c>
      <c r="E24" s="2" t="s">
        <v>13</v>
      </c>
      <c r="F24" s="2">
        <v>1999</v>
      </c>
      <c r="G24" s="3">
        <v>40909</v>
      </c>
      <c r="H24" s="2" t="s">
        <v>103</v>
      </c>
      <c r="I24" s="2" t="s">
        <v>15</v>
      </c>
      <c r="J24" s="2" t="s">
        <v>104</v>
      </c>
    </row>
    <row r="25" spans="1:10" x14ac:dyDescent="0.25">
      <c r="A25" s="2" t="s">
        <v>10</v>
      </c>
      <c r="B25" s="2" t="str">
        <f>"9780070411029"</f>
        <v>9780070411029</v>
      </c>
      <c r="C25" s="2" t="s">
        <v>105</v>
      </c>
      <c r="D25" s="2" t="s">
        <v>106</v>
      </c>
      <c r="E25" s="2" t="s">
        <v>13</v>
      </c>
      <c r="F25" s="2">
        <v>2001</v>
      </c>
      <c r="G25" s="3">
        <v>40909</v>
      </c>
      <c r="H25" s="2" t="s">
        <v>107</v>
      </c>
      <c r="I25" s="2" t="s">
        <v>15</v>
      </c>
      <c r="J25" s="2" t="s">
        <v>108</v>
      </c>
    </row>
    <row r="26" spans="1:10" x14ac:dyDescent="0.25">
      <c r="A26" s="2" t="s">
        <v>10</v>
      </c>
      <c r="B26" s="2" t="str">
        <f>"9780070411074"</f>
        <v>9780070411074</v>
      </c>
      <c r="C26" s="2" t="s">
        <v>109</v>
      </c>
      <c r="D26" s="2" t="s">
        <v>110</v>
      </c>
      <c r="E26" s="2" t="s">
        <v>13</v>
      </c>
      <c r="F26" s="2">
        <v>2000</v>
      </c>
      <c r="G26" s="3">
        <v>40909</v>
      </c>
      <c r="H26" s="2" t="s">
        <v>111</v>
      </c>
      <c r="I26" s="2" t="s">
        <v>15</v>
      </c>
      <c r="J26" s="2" t="s">
        <v>112</v>
      </c>
    </row>
    <row r="27" spans="1:10" x14ac:dyDescent="0.25">
      <c r="A27" s="2" t="s">
        <v>10</v>
      </c>
      <c r="B27" s="2" t="str">
        <f>"9780070411524"</f>
        <v>9780070411524</v>
      </c>
      <c r="C27" s="2" t="s">
        <v>113</v>
      </c>
      <c r="D27" s="2" t="s">
        <v>114</v>
      </c>
      <c r="E27" s="2" t="s">
        <v>13</v>
      </c>
      <c r="F27" s="2">
        <v>1999</v>
      </c>
      <c r="G27" s="3">
        <v>40909</v>
      </c>
      <c r="H27" s="2" t="s">
        <v>115</v>
      </c>
      <c r="I27" s="2" t="s">
        <v>15</v>
      </c>
      <c r="J27" s="2" t="s">
        <v>116</v>
      </c>
    </row>
    <row r="28" spans="1:10" x14ac:dyDescent="0.25">
      <c r="A28" s="2" t="s">
        <v>10</v>
      </c>
      <c r="B28" s="2" t="str">
        <f>"9780070419995"</f>
        <v>9780070419995</v>
      </c>
      <c r="C28" s="2" t="s">
        <v>117</v>
      </c>
      <c r="D28" s="2" t="s">
        <v>118</v>
      </c>
      <c r="E28" s="2" t="s">
        <v>13</v>
      </c>
      <c r="F28" s="2">
        <v>2001</v>
      </c>
      <c r="G28" s="3">
        <v>41367</v>
      </c>
      <c r="H28" s="2" t="s">
        <v>119</v>
      </c>
      <c r="I28" s="2" t="s">
        <v>15</v>
      </c>
      <c r="J28" s="2" t="s">
        <v>120</v>
      </c>
    </row>
    <row r="29" spans="1:10" x14ac:dyDescent="0.25">
      <c r="A29" s="2" t="s">
        <v>10</v>
      </c>
      <c r="B29" s="2" t="str">
        <f>"9780070436404"</f>
        <v>9780070436404</v>
      </c>
      <c r="C29" s="2" t="s">
        <v>121</v>
      </c>
      <c r="D29" s="2" t="s">
        <v>122</v>
      </c>
      <c r="E29" s="2" t="s">
        <v>13</v>
      </c>
      <c r="F29" s="2">
        <v>2002</v>
      </c>
      <c r="G29" s="3">
        <v>41941</v>
      </c>
      <c r="H29" s="2" t="s">
        <v>123</v>
      </c>
      <c r="I29" s="2" t="s">
        <v>15</v>
      </c>
      <c r="J29" s="2" t="s">
        <v>124</v>
      </c>
    </row>
    <row r="30" spans="1:10" x14ac:dyDescent="0.25">
      <c r="A30" s="2" t="s">
        <v>10</v>
      </c>
      <c r="B30" s="2" t="str">
        <f>"9780070442726"</f>
        <v>9780070442726</v>
      </c>
      <c r="C30" s="2" t="s">
        <v>125</v>
      </c>
      <c r="D30" s="2" t="s">
        <v>126</v>
      </c>
      <c r="E30" s="2" t="s">
        <v>13</v>
      </c>
      <c r="F30" s="2">
        <v>1997</v>
      </c>
      <c r="G30" s="3">
        <v>42824</v>
      </c>
      <c r="H30" s="2" t="s">
        <v>127</v>
      </c>
      <c r="I30" s="2" t="s">
        <v>15</v>
      </c>
      <c r="J30" s="2" t="s">
        <v>128</v>
      </c>
    </row>
    <row r="31" spans="1:10" x14ac:dyDescent="0.25">
      <c r="A31" s="2" t="s">
        <v>10</v>
      </c>
      <c r="B31" s="2" t="str">
        <f>"9780070471061"</f>
        <v>9780070471061</v>
      </c>
      <c r="C31" s="2" t="s">
        <v>129</v>
      </c>
      <c r="D31" s="2" t="s">
        <v>130</v>
      </c>
      <c r="E31" s="2" t="s">
        <v>13</v>
      </c>
      <c r="F31" s="2">
        <v>2000</v>
      </c>
      <c r="G31" s="3">
        <v>40909</v>
      </c>
      <c r="H31" s="2" t="s">
        <v>131</v>
      </c>
      <c r="I31" s="2" t="s">
        <v>15</v>
      </c>
      <c r="J31" s="2" t="s">
        <v>132</v>
      </c>
    </row>
    <row r="32" spans="1:10" x14ac:dyDescent="0.25">
      <c r="A32" s="2" t="s">
        <v>10</v>
      </c>
      <c r="B32" s="2" t="str">
        <f>"9780070471788"</f>
        <v>9780070471788</v>
      </c>
      <c r="C32" s="2" t="s">
        <v>133</v>
      </c>
      <c r="D32" s="2" t="s">
        <v>134</v>
      </c>
      <c r="E32" s="2" t="s">
        <v>13</v>
      </c>
      <c r="F32" s="2">
        <v>2001</v>
      </c>
      <c r="G32" s="3">
        <v>40909</v>
      </c>
      <c r="H32" s="2" t="s">
        <v>135</v>
      </c>
      <c r="I32" s="2" t="s">
        <v>15</v>
      </c>
      <c r="J32" s="2" t="s">
        <v>136</v>
      </c>
    </row>
    <row r="33" spans="1:10" x14ac:dyDescent="0.25">
      <c r="A33" s="2" t="s">
        <v>10</v>
      </c>
      <c r="B33" s="2" t="str">
        <f>"9780070483095"</f>
        <v>9780070483095</v>
      </c>
      <c r="C33" s="2" t="s">
        <v>137</v>
      </c>
      <c r="D33" s="2" t="s">
        <v>138</v>
      </c>
      <c r="E33" s="2" t="s">
        <v>13</v>
      </c>
      <c r="F33" s="2">
        <v>2004</v>
      </c>
      <c r="G33" s="3">
        <v>42122</v>
      </c>
      <c r="H33" s="2" t="s">
        <v>139</v>
      </c>
      <c r="I33" s="2" t="s">
        <v>15</v>
      </c>
      <c r="J33" s="2" t="s">
        <v>140</v>
      </c>
    </row>
    <row r="34" spans="1:10" x14ac:dyDescent="0.25">
      <c r="A34" s="2" t="s">
        <v>10</v>
      </c>
      <c r="B34" s="2" t="str">
        <f>"9780070483156"</f>
        <v>9780070483156</v>
      </c>
      <c r="C34" s="2" t="s">
        <v>141</v>
      </c>
      <c r="D34" s="2" t="s">
        <v>142</v>
      </c>
      <c r="E34" s="2" t="s">
        <v>13</v>
      </c>
      <c r="F34" s="2">
        <v>2003</v>
      </c>
      <c r="G34" s="3">
        <v>41941</v>
      </c>
      <c r="H34" s="2" t="s">
        <v>60</v>
      </c>
      <c r="I34" s="2" t="s">
        <v>15</v>
      </c>
      <c r="J34" s="2" t="s">
        <v>143</v>
      </c>
    </row>
    <row r="35" spans="1:10" x14ac:dyDescent="0.25">
      <c r="A35" s="2" t="s">
        <v>10</v>
      </c>
      <c r="B35" s="2" t="str">
        <f>"9780070483576"</f>
        <v>9780070483576</v>
      </c>
      <c r="C35" s="2" t="s">
        <v>144</v>
      </c>
      <c r="D35" s="2" t="s">
        <v>145</v>
      </c>
      <c r="E35" s="2" t="s">
        <v>13</v>
      </c>
      <c r="F35" s="2">
        <v>2003</v>
      </c>
      <c r="G35" s="3">
        <v>42063</v>
      </c>
      <c r="H35" s="2" t="s">
        <v>146</v>
      </c>
      <c r="I35" s="2" t="s">
        <v>15</v>
      </c>
      <c r="J35" s="2" t="s">
        <v>147</v>
      </c>
    </row>
    <row r="36" spans="1:10" x14ac:dyDescent="0.25">
      <c r="A36" s="2" t="s">
        <v>10</v>
      </c>
      <c r="B36" s="2" t="str">
        <f>"9780070527683"</f>
        <v>9780070527683</v>
      </c>
      <c r="C36" s="2" t="s">
        <v>148</v>
      </c>
      <c r="D36" s="2" t="s">
        <v>149</v>
      </c>
      <c r="E36" s="2" t="s">
        <v>13</v>
      </c>
      <c r="F36" s="2">
        <v>1999</v>
      </c>
      <c r="G36" s="3">
        <v>40909</v>
      </c>
      <c r="H36" s="2" t="s">
        <v>150</v>
      </c>
      <c r="I36" s="2" t="s">
        <v>15</v>
      </c>
      <c r="J36" s="2" t="s">
        <v>151</v>
      </c>
    </row>
    <row r="37" spans="1:10" hidden="1" x14ac:dyDescent="0.25">
      <c r="A37" s="2" t="s">
        <v>10</v>
      </c>
      <c r="B37" s="2" t="str">
        <f>"9780070527997"</f>
        <v>9780070527997</v>
      </c>
      <c r="C37" s="2" t="s">
        <v>152</v>
      </c>
      <c r="D37" s="2" t="s">
        <v>153</v>
      </c>
      <c r="E37" s="2" t="s">
        <v>13</v>
      </c>
      <c r="F37" s="2">
        <v>2004</v>
      </c>
      <c r="G37" s="3">
        <v>41983</v>
      </c>
      <c r="I37" s="2" t="s">
        <v>44</v>
      </c>
      <c r="J37" s="2" t="s">
        <v>154</v>
      </c>
    </row>
    <row r="38" spans="1:10" x14ac:dyDescent="0.25">
      <c r="A38" s="2" t="s">
        <v>10</v>
      </c>
      <c r="B38" s="2" t="str">
        <f>"9780070528031"</f>
        <v>9780070528031</v>
      </c>
      <c r="C38" s="2" t="s">
        <v>155</v>
      </c>
      <c r="D38" s="2" t="s">
        <v>156</v>
      </c>
      <c r="E38" s="2" t="s">
        <v>13</v>
      </c>
      <c r="F38" s="2">
        <v>2004</v>
      </c>
      <c r="G38" s="3">
        <v>42063</v>
      </c>
      <c r="H38" s="2" t="s">
        <v>157</v>
      </c>
      <c r="I38" s="2" t="s">
        <v>15</v>
      </c>
      <c r="J38" s="2" t="s">
        <v>158</v>
      </c>
    </row>
    <row r="39" spans="1:10" x14ac:dyDescent="0.25">
      <c r="A39" s="2" t="s">
        <v>10</v>
      </c>
      <c r="B39" s="2" t="str">
        <f>"9780070535558"</f>
        <v>9780070535558</v>
      </c>
      <c r="C39" s="2" t="s">
        <v>159</v>
      </c>
      <c r="D39" s="2" t="s">
        <v>160</v>
      </c>
      <c r="E39" s="2" t="s">
        <v>13</v>
      </c>
      <c r="F39" s="2">
        <v>1998</v>
      </c>
      <c r="G39" s="3">
        <v>41843</v>
      </c>
      <c r="H39" s="2" t="s">
        <v>161</v>
      </c>
      <c r="I39" s="2" t="s">
        <v>15</v>
      </c>
      <c r="J39" s="2" t="s">
        <v>162</v>
      </c>
    </row>
    <row r="40" spans="1:10" x14ac:dyDescent="0.25">
      <c r="A40" s="2" t="s">
        <v>10</v>
      </c>
      <c r="B40" s="2" t="str">
        <f>"9780070580480"</f>
        <v>9780070580480</v>
      </c>
      <c r="C40" s="2" t="s">
        <v>163</v>
      </c>
      <c r="D40" s="2" t="s">
        <v>164</v>
      </c>
      <c r="E40" s="2" t="s">
        <v>13</v>
      </c>
      <c r="F40" s="2">
        <v>1999</v>
      </c>
      <c r="G40" s="3">
        <v>40909</v>
      </c>
      <c r="H40" s="2" t="s">
        <v>165</v>
      </c>
      <c r="I40" s="2" t="s">
        <v>15</v>
      </c>
      <c r="J40" s="2" t="s">
        <v>166</v>
      </c>
    </row>
    <row r="41" spans="1:10" x14ac:dyDescent="0.25">
      <c r="A41" s="2" t="s">
        <v>10</v>
      </c>
      <c r="B41" s="2" t="str">
        <f>"9780070581647"</f>
        <v>9780070581647</v>
      </c>
      <c r="C41" s="2" t="s">
        <v>167</v>
      </c>
      <c r="D41" s="2" t="s">
        <v>168</v>
      </c>
      <c r="E41" s="2" t="s">
        <v>13</v>
      </c>
      <c r="F41" s="2">
        <v>2005</v>
      </c>
      <c r="G41" s="3">
        <v>41911</v>
      </c>
      <c r="H41" s="2" t="s">
        <v>169</v>
      </c>
      <c r="I41" s="2" t="s">
        <v>15</v>
      </c>
      <c r="J41" s="2" t="s">
        <v>170</v>
      </c>
    </row>
    <row r="42" spans="1:10" hidden="1" x14ac:dyDescent="0.25">
      <c r="A42" s="2" t="s">
        <v>10</v>
      </c>
      <c r="B42" s="2" t="str">
        <f>"9780070583207"</f>
        <v>9780070583207</v>
      </c>
      <c r="C42" s="2" t="s">
        <v>171</v>
      </c>
      <c r="D42" s="2" t="s">
        <v>172</v>
      </c>
      <c r="E42" s="2" t="s">
        <v>13</v>
      </c>
      <c r="F42" s="2">
        <v>2005</v>
      </c>
      <c r="G42" s="3">
        <v>41980</v>
      </c>
      <c r="I42" s="2" t="s">
        <v>44</v>
      </c>
      <c r="J42" s="2" t="s">
        <v>173</v>
      </c>
    </row>
    <row r="43" spans="1:10" hidden="1" x14ac:dyDescent="0.25">
      <c r="A43" s="2" t="s">
        <v>10</v>
      </c>
      <c r="B43" s="2" t="str">
        <f>"9780070583535"</f>
        <v>9780070583535</v>
      </c>
      <c r="C43" s="2" t="s">
        <v>174</v>
      </c>
      <c r="D43" s="2" t="s">
        <v>153</v>
      </c>
      <c r="E43" s="2" t="s">
        <v>13</v>
      </c>
      <c r="F43" s="2">
        <v>2006</v>
      </c>
      <c r="G43" s="3">
        <v>42096</v>
      </c>
      <c r="I43" s="2" t="s">
        <v>44</v>
      </c>
      <c r="J43" s="2" t="s">
        <v>175</v>
      </c>
    </row>
    <row r="44" spans="1:10" hidden="1" x14ac:dyDescent="0.25">
      <c r="A44" s="2" t="s">
        <v>10</v>
      </c>
      <c r="B44" s="2" t="str">
        <f>"9780070583542"</f>
        <v>9780070583542</v>
      </c>
      <c r="C44" s="2" t="s">
        <v>176</v>
      </c>
      <c r="D44" s="2" t="s">
        <v>153</v>
      </c>
      <c r="E44" s="2" t="s">
        <v>13</v>
      </c>
      <c r="F44" s="2">
        <v>2005</v>
      </c>
      <c r="G44" s="3">
        <v>41941</v>
      </c>
      <c r="I44" s="2" t="s">
        <v>44</v>
      </c>
      <c r="J44" s="2" t="s">
        <v>177</v>
      </c>
    </row>
    <row r="45" spans="1:10" x14ac:dyDescent="0.25">
      <c r="A45" s="2" t="s">
        <v>10</v>
      </c>
      <c r="B45" s="2" t="str">
        <f>"9780070592544"</f>
        <v>9780070592544</v>
      </c>
      <c r="C45" s="2" t="s">
        <v>178</v>
      </c>
      <c r="D45" s="2" t="s">
        <v>179</v>
      </c>
      <c r="E45" s="2" t="s">
        <v>13</v>
      </c>
      <c r="F45" s="2">
        <v>1997</v>
      </c>
      <c r="G45" s="3">
        <v>40909</v>
      </c>
      <c r="H45" s="2" t="s">
        <v>180</v>
      </c>
      <c r="I45" s="2" t="s">
        <v>15</v>
      </c>
      <c r="J45" s="2" t="s">
        <v>181</v>
      </c>
    </row>
    <row r="46" spans="1:10" hidden="1" x14ac:dyDescent="0.25">
      <c r="A46" s="2" t="s">
        <v>10</v>
      </c>
      <c r="B46" s="2" t="str">
        <f>"9780070599338"</f>
        <v>9780070599338</v>
      </c>
      <c r="C46" s="2" t="s">
        <v>182</v>
      </c>
      <c r="D46" s="2" t="s">
        <v>183</v>
      </c>
      <c r="E46" s="2" t="s">
        <v>13</v>
      </c>
      <c r="F46" s="2">
        <v>2007</v>
      </c>
      <c r="G46" s="3">
        <v>41941</v>
      </c>
      <c r="I46" s="2" t="s">
        <v>44</v>
      </c>
      <c r="J46" s="2" t="s">
        <v>184</v>
      </c>
    </row>
    <row r="47" spans="1:10" x14ac:dyDescent="0.25">
      <c r="A47" s="2" t="s">
        <v>10</v>
      </c>
      <c r="B47" s="2" t="str">
        <f>"9780070604605"</f>
        <v>9780070604605</v>
      </c>
      <c r="C47" s="2" t="s">
        <v>185</v>
      </c>
      <c r="D47" s="2" t="s">
        <v>186</v>
      </c>
      <c r="E47" s="2" t="s">
        <v>13</v>
      </c>
      <c r="F47" s="2">
        <v>2006</v>
      </c>
      <c r="G47" s="3">
        <v>42207</v>
      </c>
      <c r="H47" s="2" t="s">
        <v>187</v>
      </c>
      <c r="I47" s="2" t="s">
        <v>15</v>
      </c>
      <c r="J47" s="2" t="s">
        <v>188</v>
      </c>
    </row>
    <row r="48" spans="1:10" x14ac:dyDescent="0.25">
      <c r="A48" s="2" t="s">
        <v>10</v>
      </c>
      <c r="B48" s="2" t="str">
        <f>"9780070610408"</f>
        <v>9780070610408</v>
      </c>
      <c r="C48" s="2" t="s">
        <v>189</v>
      </c>
      <c r="D48" s="2" t="s">
        <v>190</v>
      </c>
      <c r="E48" s="2" t="s">
        <v>13</v>
      </c>
      <c r="F48" s="2">
        <v>2000</v>
      </c>
      <c r="G48" s="3">
        <v>40909</v>
      </c>
      <c r="H48" s="2" t="s">
        <v>135</v>
      </c>
      <c r="I48" s="2" t="s">
        <v>15</v>
      </c>
      <c r="J48" s="2" t="s">
        <v>191</v>
      </c>
    </row>
    <row r="49" spans="1:10" x14ac:dyDescent="0.25">
      <c r="A49" s="2" t="s">
        <v>10</v>
      </c>
      <c r="B49" s="2" t="str">
        <f>"9780070616233"</f>
        <v>9780070616233</v>
      </c>
      <c r="C49" s="2" t="s">
        <v>192</v>
      </c>
      <c r="D49" s="2" t="s">
        <v>193</v>
      </c>
      <c r="E49" s="2" t="s">
        <v>13</v>
      </c>
      <c r="F49" s="2">
        <v>1998</v>
      </c>
      <c r="G49" s="3">
        <v>40909</v>
      </c>
      <c r="H49" s="2" t="s">
        <v>194</v>
      </c>
      <c r="I49" s="2" t="s">
        <v>15</v>
      </c>
      <c r="J49" s="2" t="s">
        <v>195</v>
      </c>
    </row>
    <row r="50" spans="1:10" x14ac:dyDescent="0.25">
      <c r="A50" s="2" t="s">
        <v>10</v>
      </c>
      <c r="B50" s="2" t="str">
        <f>"9780070617391"</f>
        <v>9780070617391</v>
      </c>
      <c r="C50" s="2" t="s">
        <v>196</v>
      </c>
      <c r="D50" s="2" t="s">
        <v>197</v>
      </c>
      <c r="E50" s="2" t="s">
        <v>13</v>
      </c>
      <c r="F50" s="2">
        <v>2007</v>
      </c>
      <c r="G50" s="3">
        <v>41971</v>
      </c>
      <c r="H50" s="2" t="s">
        <v>198</v>
      </c>
      <c r="I50" s="2" t="s">
        <v>15</v>
      </c>
      <c r="J50" s="2" t="s">
        <v>199</v>
      </c>
    </row>
    <row r="51" spans="1:10" x14ac:dyDescent="0.25">
      <c r="A51" s="2" t="s">
        <v>10</v>
      </c>
      <c r="B51" s="2" t="str">
        <f>"9780070617681"</f>
        <v>9780070617681</v>
      </c>
      <c r="C51" s="2" t="s">
        <v>200</v>
      </c>
      <c r="D51" s="2" t="s">
        <v>201</v>
      </c>
      <c r="E51" s="2" t="s">
        <v>13</v>
      </c>
      <c r="F51" s="2">
        <v>2005</v>
      </c>
      <c r="G51" s="3">
        <v>41971</v>
      </c>
      <c r="H51" s="2" t="s">
        <v>202</v>
      </c>
      <c r="I51" s="2" t="s">
        <v>15</v>
      </c>
      <c r="J51" s="2" t="s">
        <v>203</v>
      </c>
    </row>
    <row r="52" spans="1:10" x14ac:dyDescent="0.25">
      <c r="A52" s="2" t="s">
        <v>10</v>
      </c>
      <c r="B52" s="2" t="str">
        <f>"9780070620902"</f>
        <v>9780070620902</v>
      </c>
      <c r="C52" s="2" t="s">
        <v>204</v>
      </c>
      <c r="D52" s="2" t="s">
        <v>205</v>
      </c>
      <c r="E52" s="2" t="s">
        <v>13</v>
      </c>
      <c r="F52" s="2">
        <v>2007</v>
      </c>
      <c r="G52" s="3">
        <v>40909</v>
      </c>
      <c r="H52" s="2" t="s">
        <v>206</v>
      </c>
      <c r="I52" s="2" t="s">
        <v>15</v>
      </c>
      <c r="J52" s="2" t="s">
        <v>207</v>
      </c>
    </row>
    <row r="53" spans="1:10" x14ac:dyDescent="0.25">
      <c r="A53" s="2" t="s">
        <v>10</v>
      </c>
      <c r="B53" s="2" t="str">
        <f>"9780070620964"</f>
        <v>9780070620964</v>
      </c>
      <c r="C53" s="2" t="s">
        <v>208</v>
      </c>
      <c r="D53" s="2" t="s">
        <v>209</v>
      </c>
      <c r="E53" s="2" t="s">
        <v>13</v>
      </c>
      <c r="F53" s="2">
        <v>2008</v>
      </c>
      <c r="G53" s="3">
        <v>42011</v>
      </c>
      <c r="H53" s="2" t="s">
        <v>60</v>
      </c>
      <c r="I53" s="2" t="s">
        <v>15</v>
      </c>
      <c r="J53" s="2" t="s">
        <v>210</v>
      </c>
    </row>
    <row r="54" spans="1:10" x14ac:dyDescent="0.25">
      <c r="A54" s="2" t="s">
        <v>10</v>
      </c>
      <c r="B54" s="2" t="str">
        <f>"9780070620971"</f>
        <v>9780070620971</v>
      </c>
      <c r="C54" s="2" t="s">
        <v>211</v>
      </c>
      <c r="D54" s="2" t="s">
        <v>209</v>
      </c>
      <c r="E54" s="2" t="s">
        <v>13</v>
      </c>
      <c r="F54" s="2">
        <v>2008</v>
      </c>
      <c r="G54" s="3">
        <v>42013</v>
      </c>
      <c r="H54" s="2" t="s">
        <v>60</v>
      </c>
      <c r="I54" s="2" t="s">
        <v>15</v>
      </c>
      <c r="J54" s="2" t="s">
        <v>212</v>
      </c>
    </row>
    <row r="55" spans="1:10" x14ac:dyDescent="0.25">
      <c r="A55" s="2" t="s">
        <v>10</v>
      </c>
      <c r="B55" s="2" t="str">
        <f>"9780070620988"</f>
        <v>9780070620988</v>
      </c>
      <c r="C55" s="2" t="s">
        <v>213</v>
      </c>
      <c r="D55" s="2" t="s">
        <v>209</v>
      </c>
      <c r="E55" s="2" t="s">
        <v>13</v>
      </c>
      <c r="F55" s="2">
        <v>2008</v>
      </c>
      <c r="G55" s="3">
        <v>42014</v>
      </c>
      <c r="H55" s="2" t="s">
        <v>60</v>
      </c>
      <c r="I55" s="2" t="s">
        <v>15</v>
      </c>
      <c r="J55" s="2" t="s">
        <v>214</v>
      </c>
    </row>
    <row r="56" spans="1:10" x14ac:dyDescent="0.25">
      <c r="A56" s="2" t="s">
        <v>10</v>
      </c>
      <c r="B56" s="2" t="str">
        <f>"9780070620995"</f>
        <v>9780070620995</v>
      </c>
      <c r="C56" s="2" t="s">
        <v>215</v>
      </c>
      <c r="D56" s="2" t="s">
        <v>216</v>
      </c>
      <c r="E56" s="2" t="s">
        <v>13</v>
      </c>
      <c r="F56" s="2">
        <v>2007</v>
      </c>
      <c r="G56" s="3">
        <v>41941</v>
      </c>
      <c r="H56" s="2" t="s">
        <v>217</v>
      </c>
      <c r="I56" s="2" t="s">
        <v>15</v>
      </c>
      <c r="J56" s="2" t="s">
        <v>218</v>
      </c>
    </row>
    <row r="57" spans="1:10" hidden="1" x14ac:dyDescent="0.25">
      <c r="A57" s="2" t="s">
        <v>10</v>
      </c>
      <c r="B57" s="2" t="str">
        <f>"9780070656925"</f>
        <v>9780070656925</v>
      </c>
      <c r="C57" s="2" t="s">
        <v>219</v>
      </c>
      <c r="D57" s="2" t="s">
        <v>153</v>
      </c>
      <c r="E57" s="2" t="s">
        <v>13</v>
      </c>
      <c r="F57" s="2">
        <v>2008</v>
      </c>
      <c r="I57" s="2" t="s">
        <v>44</v>
      </c>
      <c r="J57" s="2" t="s">
        <v>220</v>
      </c>
    </row>
    <row r="58" spans="1:10" hidden="1" x14ac:dyDescent="0.25">
      <c r="A58" s="2" t="s">
        <v>10</v>
      </c>
      <c r="B58" s="2" t="str">
        <f>"9780070656956"</f>
        <v>9780070656956</v>
      </c>
      <c r="C58" s="2" t="s">
        <v>221</v>
      </c>
      <c r="D58" s="2" t="s">
        <v>222</v>
      </c>
      <c r="E58" s="2" t="s">
        <v>13</v>
      </c>
      <c r="F58" s="2">
        <v>2008</v>
      </c>
      <c r="G58" s="3">
        <v>41941</v>
      </c>
      <c r="I58" s="2" t="s">
        <v>44</v>
      </c>
      <c r="J58" s="2" t="s">
        <v>223</v>
      </c>
    </row>
    <row r="59" spans="1:10" x14ac:dyDescent="0.25">
      <c r="A59" s="2" t="s">
        <v>10</v>
      </c>
      <c r="B59" s="2" t="str">
        <f>"9780070656963"</f>
        <v>9780070656963</v>
      </c>
      <c r="C59" s="2" t="s">
        <v>224</v>
      </c>
      <c r="D59" s="2" t="s">
        <v>225</v>
      </c>
      <c r="E59" s="2" t="s">
        <v>13</v>
      </c>
      <c r="F59" s="2">
        <v>2009</v>
      </c>
      <c r="G59" s="3">
        <v>41941</v>
      </c>
      <c r="H59" s="2" t="s">
        <v>226</v>
      </c>
      <c r="I59" s="2" t="s">
        <v>15</v>
      </c>
      <c r="J59" s="2" t="s">
        <v>227</v>
      </c>
    </row>
    <row r="60" spans="1:10" x14ac:dyDescent="0.25">
      <c r="A60" s="2" t="s">
        <v>10</v>
      </c>
      <c r="B60" s="2" t="str">
        <f>"9780070657069"</f>
        <v>9780070657069</v>
      </c>
      <c r="C60" s="2" t="s">
        <v>228</v>
      </c>
      <c r="D60" s="2" t="s">
        <v>229</v>
      </c>
      <c r="E60" s="2" t="s">
        <v>13</v>
      </c>
      <c r="F60" s="2">
        <v>2008</v>
      </c>
      <c r="G60" s="3">
        <v>41985</v>
      </c>
      <c r="H60" s="2" t="s">
        <v>115</v>
      </c>
      <c r="I60" s="2" t="s">
        <v>15</v>
      </c>
      <c r="J60" s="2" t="s">
        <v>230</v>
      </c>
    </row>
    <row r="61" spans="1:10" x14ac:dyDescent="0.25">
      <c r="A61" s="2" t="s">
        <v>10</v>
      </c>
      <c r="B61" s="2" t="str">
        <f>"9780070680128"</f>
        <v>9780070680128</v>
      </c>
      <c r="C61" s="2" t="s">
        <v>231</v>
      </c>
      <c r="D61" s="2" t="s">
        <v>232</v>
      </c>
      <c r="E61" s="2" t="s">
        <v>13</v>
      </c>
      <c r="F61" s="2">
        <v>2009</v>
      </c>
      <c r="G61" s="3">
        <v>41941</v>
      </c>
      <c r="H61" s="2" t="s">
        <v>233</v>
      </c>
      <c r="I61" s="2" t="s">
        <v>15</v>
      </c>
      <c r="J61" s="2" t="s">
        <v>234</v>
      </c>
    </row>
    <row r="62" spans="1:10" x14ac:dyDescent="0.25">
      <c r="A62" s="2" t="s">
        <v>10</v>
      </c>
      <c r="B62" s="2" t="str">
        <f>"9780070680739"</f>
        <v>9780070680739</v>
      </c>
      <c r="C62" s="2" t="s">
        <v>235</v>
      </c>
      <c r="D62" s="2" t="s">
        <v>197</v>
      </c>
      <c r="E62" s="2" t="s">
        <v>13</v>
      </c>
      <c r="F62" s="2">
        <v>2010</v>
      </c>
      <c r="G62" s="3">
        <v>42063</v>
      </c>
      <c r="H62" s="2" t="s">
        <v>236</v>
      </c>
      <c r="I62" s="2" t="s">
        <v>15</v>
      </c>
      <c r="J62" s="2" t="s">
        <v>237</v>
      </c>
    </row>
    <row r="63" spans="1:10" x14ac:dyDescent="0.25">
      <c r="A63" s="2" t="s">
        <v>10</v>
      </c>
      <c r="B63" s="2" t="str">
        <f>"9780070681675"</f>
        <v>9780070681675</v>
      </c>
      <c r="C63" s="2" t="s">
        <v>238</v>
      </c>
      <c r="D63" s="2" t="s">
        <v>239</v>
      </c>
      <c r="E63" s="2" t="s">
        <v>13</v>
      </c>
      <c r="F63" s="2">
        <v>2001</v>
      </c>
      <c r="G63" s="3">
        <v>41879</v>
      </c>
      <c r="H63" s="2" t="s">
        <v>240</v>
      </c>
      <c r="I63" s="2" t="s">
        <v>15</v>
      </c>
      <c r="J63" s="2" t="s">
        <v>241</v>
      </c>
    </row>
    <row r="64" spans="1:10" x14ac:dyDescent="0.25">
      <c r="A64" s="2" t="s">
        <v>10</v>
      </c>
      <c r="B64" s="2" t="str">
        <f>"9780070684997"</f>
        <v>9780070684997</v>
      </c>
      <c r="C64" s="2" t="s">
        <v>242</v>
      </c>
      <c r="D64" s="2" t="s">
        <v>243</v>
      </c>
      <c r="E64" s="2" t="s">
        <v>13</v>
      </c>
      <c r="F64" s="2">
        <v>2002</v>
      </c>
      <c r="G64" s="3">
        <v>41254</v>
      </c>
      <c r="H64" s="2" t="s">
        <v>244</v>
      </c>
      <c r="I64" s="2" t="s">
        <v>15</v>
      </c>
      <c r="J64" s="2" t="s">
        <v>245</v>
      </c>
    </row>
    <row r="65" spans="1:10" x14ac:dyDescent="0.25">
      <c r="A65" s="2" t="s">
        <v>10</v>
      </c>
      <c r="B65" s="2" t="str">
        <f>"9780070685079"</f>
        <v>9780070685079</v>
      </c>
      <c r="C65" s="2" t="s">
        <v>246</v>
      </c>
      <c r="D65" s="2" t="s">
        <v>247</v>
      </c>
      <c r="E65" s="2" t="s">
        <v>13</v>
      </c>
      <c r="F65" s="2">
        <v>2003</v>
      </c>
      <c r="G65" s="3">
        <v>40909</v>
      </c>
      <c r="H65" s="2" t="s">
        <v>248</v>
      </c>
      <c r="I65" s="2" t="s">
        <v>15</v>
      </c>
      <c r="J65" s="2" t="s">
        <v>249</v>
      </c>
    </row>
    <row r="66" spans="1:10" x14ac:dyDescent="0.25">
      <c r="A66" s="2" t="s">
        <v>10</v>
      </c>
      <c r="B66" s="2" t="str">
        <f>"9780070687165"</f>
        <v>9780070687165</v>
      </c>
      <c r="C66" s="2" t="s">
        <v>250</v>
      </c>
      <c r="D66" s="2" t="s">
        <v>251</v>
      </c>
      <c r="E66" s="2" t="s">
        <v>13</v>
      </c>
      <c r="F66" s="2">
        <v>2000</v>
      </c>
      <c r="G66" s="3">
        <v>40909</v>
      </c>
      <c r="H66" s="2" t="s">
        <v>252</v>
      </c>
      <c r="I66" s="2" t="s">
        <v>15</v>
      </c>
      <c r="J66" s="2" t="s">
        <v>253</v>
      </c>
    </row>
    <row r="67" spans="1:10" x14ac:dyDescent="0.25">
      <c r="A67" s="2" t="s">
        <v>10</v>
      </c>
      <c r="B67" s="2" t="str">
        <f>"9780070696396"</f>
        <v>9780070696396</v>
      </c>
      <c r="C67" s="2" t="s">
        <v>254</v>
      </c>
      <c r="D67" s="2" t="s">
        <v>255</v>
      </c>
      <c r="E67" s="2" t="s">
        <v>13</v>
      </c>
      <c r="F67" s="2">
        <v>2001</v>
      </c>
      <c r="G67" s="3">
        <v>40909</v>
      </c>
      <c r="H67" s="2" t="s">
        <v>256</v>
      </c>
      <c r="I67" s="2" t="s">
        <v>15</v>
      </c>
      <c r="J67" s="2" t="s">
        <v>257</v>
      </c>
    </row>
    <row r="68" spans="1:10" x14ac:dyDescent="0.25">
      <c r="A68" s="2" t="s">
        <v>10</v>
      </c>
      <c r="B68" s="2" t="str">
        <f>"9780070704244"</f>
        <v>9780070704244</v>
      </c>
      <c r="C68" s="2" t="s">
        <v>258</v>
      </c>
      <c r="D68" s="2" t="s">
        <v>259</v>
      </c>
      <c r="E68" s="2" t="s">
        <v>13</v>
      </c>
      <c r="F68" s="2">
        <v>2011</v>
      </c>
      <c r="G68" s="3">
        <v>42095</v>
      </c>
      <c r="H68" s="2" t="s">
        <v>260</v>
      </c>
      <c r="I68" s="2" t="s">
        <v>15</v>
      </c>
      <c r="J68" s="2" t="s">
        <v>261</v>
      </c>
    </row>
    <row r="69" spans="1:10" x14ac:dyDescent="0.25">
      <c r="A69" s="2" t="s">
        <v>10</v>
      </c>
      <c r="B69" s="2" t="str">
        <f>"9780070704442"</f>
        <v>9780070704442</v>
      </c>
      <c r="C69" s="2" t="s">
        <v>262</v>
      </c>
      <c r="D69" s="2" t="s">
        <v>263</v>
      </c>
      <c r="E69" s="2" t="s">
        <v>13</v>
      </c>
      <c r="F69" s="2">
        <v>2011</v>
      </c>
      <c r="G69" s="3">
        <v>42122</v>
      </c>
      <c r="H69" s="2" t="s">
        <v>32</v>
      </c>
      <c r="I69" s="2" t="s">
        <v>15</v>
      </c>
      <c r="J69" s="2" t="s">
        <v>264</v>
      </c>
    </row>
    <row r="70" spans="1:10" x14ac:dyDescent="0.25">
      <c r="A70" s="2" t="s">
        <v>10</v>
      </c>
      <c r="B70" s="2" t="str">
        <f>"9780070704459"</f>
        <v>9780070704459</v>
      </c>
      <c r="C70" s="2" t="s">
        <v>265</v>
      </c>
      <c r="D70" s="2" t="s">
        <v>266</v>
      </c>
      <c r="E70" s="2" t="s">
        <v>13</v>
      </c>
      <c r="F70" s="2">
        <v>2012</v>
      </c>
      <c r="G70" s="3">
        <v>42122</v>
      </c>
      <c r="H70" s="2" t="s">
        <v>267</v>
      </c>
      <c r="I70" s="2" t="s">
        <v>15</v>
      </c>
      <c r="J70" s="2" t="s">
        <v>268</v>
      </c>
    </row>
    <row r="71" spans="1:10" x14ac:dyDescent="0.25">
      <c r="A71" s="2" t="s">
        <v>10</v>
      </c>
      <c r="B71" s="2" t="str">
        <f>"9780070707023"</f>
        <v>9780070707023</v>
      </c>
      <c r="C71" s="2" t="s">
        <v>269</v>
      </c>
      <c r="D71" s="2" t="s">
        <v>270</v>
      </c>
      <c r="E71" s="2" t="s">
        <v>13</v>
      </c>
      <c r="F71" s="2">
        <v>2011</v>
      </c>
      <c r="G71" s="3">
        <v>41941</v>
      </c>
      <c r="H71" s="2" t="s">
        <v>271</v>
      </c>
      <c r="I71" s="2" t="s">
        <v>15</v>
      </c>
      <c r="J71" s="2" t="s">
        <v>272</v>
      </c>
    </row>
    <row r="72" spans="1:10" x14ac:dyDescent="0.25">
      <c r="A72" s="2" t="s">
        <v>10</v>
      </c>
      <c r="B72" s="2" t="str">
        <f>"9780070707030"</f>
        <v>9780070707030</v>
      </c>
      <c r="C72" s="2" t="s">
        <v>273</v>
      </c>
      <c r="D72" s="2" t="s">
        <v>274</v>
      </c>
      <c r="E72" s="2" t="s">
        <v>13</v>
      </c>
      <c r="F72" s="2">
        <v>2011</v>
      </c>
      <c r="G72" s="3">
        <v>41971</v>
      </c>
      <c r="H72" s="2" t="s">
        <v>275</v>
      </c>
      <c r="I72" s="2" t="s">
        <v>15</v>
      </c>
      <c r="J72" s="2" t="s">
        <v>276</v>
      </c>
    </row>
    <row r="73" spans="1:10" x14ac:dyDescent="0.25">
      <c r="A73" s="2" t="s">
        <v>10</v>
      </c>
      <c r="B73" s="2" t="str">
        <f>"9780070707047"</f>
        <v>9780070707047</v>
      </c>
      <c r="C73" s="2" t="s">
        <v>277</v>
      </c>
      <c r="D73" s="2" t="s">
        <v>156</v>
      </c>
      <c r="E73" s="2" t="s">
        <v>13</v>
      </c>
      <c r="F73" s="2">
        <v>2011</v>
      </c>
      <c r="G73" s="3">
        <v>41971</v>
      </c>
      <c r="H73" s="2" t="s">
        <v>157</v>
      </c>
      <c r="I73" s="2" t="s">
        <v>15</v>
      </c>
      <c r="J73" s="2" t="s">
        <v>278</v>
      </c>
    </row>
    <row r="74" spans="1:10" x14ac:dyDescent="0.25">
      <c r="A74" s="2" t="s">
        <v>10</v>
      </c>
      <c r="B74" s="2" t="str">
        <f>"9780070718654"</f>
        <v>9780070718654</v>
      </c>
      <c r="C74" s="2" t="s">
        <v>279</v>
      </c>
      <c r="D74" s="2" t="s">
        <v>280</v>
      </c>
      <c r="E74" s="2" t="s">
        <v>13</v>
      </c>
      <c r="F74" s="2">
        <v>1999</v>
      </c>
      <c r="G74" s="3">
        <v>41879</v>
      </c>
      <c r="H74" s="2" t="s">
        <v>281</v>
      </c>
      <c r="I74" s="2" t="s">
        <v>15</v>
      </c>
      <c r="J74" s="2" t="s">
        <v>282</v>
      </c>
    </row>
    <row r="75" spans="1:10" x14ac:dyDescent="0.25">
      <c r="A75" s="2" t="s">
        <v>10</v>
      </c>
      <c r="B75" s="2" t="str">
        <f>"9780070734012"</f>
        <v>9780070734012</v>
      </c>
      <c r="C75" s="2" t="s">
        <v>283</v>
      </c>
      <c r="D75" s="2" t="s">
        <v>284</v>
      </c>
      <c r="E75" s="2" t="s">
        <v>13</v>
      </c>
      <c r="F75" s="2">
        <v>1999</v>
      </c>
      <c r="G75" s="3">
        <v>41816</v>
      </c>
      <c r="H75" s="2" t="s">
        <v>40</v>
      </c>
      <c r="I75" s="2" t="s">
        <v>15</v>
      </c>
      <c r="J75" s="2" t="s">
        <v>285</v>
      </c>
    </row>
    <row r="76" spans="1:10" x14ac:dyDescent="0.25">
      <c r="A76" s="2" t="s">
        <v>10</v>
      </c>
      <c r="B76" s="2" t="str">
        <f>"9780071333016"</f>
        <v>9780071333016</v>
      </c>
      <c r="C76" s="2" t="s">
        <v>286</v>
      </c>
      <c r="D76" s="2" t="s">
        <v>287</v>
      </c>
      <c r="E76" s="2" t="s">
        <v>13</v>
      </c>
      <c r="F76" s="2">
        <v>2012</v>
      </c>
      <c r="G76" s="3">
        <v>42096</v>
      </c>
      <c r="H76" s="2" t="s">
        <v>288</v>
      </c>
      <c r="I76" s="2" t="s">
        <v>15</v>
      </c>
      <c r="J76" s="2" t="s">
        <v>289</v>
      </c>
    </row>
    <row r="77" spans="1:10" x14ac:dyDescent="0.25">
      <c r="A77" s="2" t="s">
        <v>10</v>
      </c>
      <c r="B77" s="2" t="str">
        <f>"9780071342131"</f>
        <v>9780071342131</v>
      </c>
      <c r="C77" s="2" t="s">
        <v>290</v>
      </c>
      <c r="D77" s="2" t="s">
        <v>114</v>
      </c>
      <c r="E77" s="2" t="s">
        <v>13</v>
      </c>
      <c r="F77" s="2">
        <v>2000</v>
      </c>
      <c r="G77" s="3">
        <v>40909</v>
      </c>
      <c r="H77" s="2" t="s">
        <v>291</v>
      </c>
      <c r="I77" s="2" t="s">
        <v>15</v>
      </c>
      <c r="J77" s="2" t="s">
        <v>292</v>
      </c>
    </row>
    <row r="78" spans="1:10" x14ac:dyDescent="0.25">
      <c r="A78" s="2" t="s">
        <v>10</v>
      </c>
      <c r="B78" s="2" t="str">
        <f>"9780071344166"</f>
        <v>9780071344166</v>
      </c>
      <c r="C78" s="2" t="s">
        <v>293</v>
      </c>
      <c r="D78" s="2" t="s">
        <v>294</v>
      </c>
      <c r="E78" s="2" t="s">
        <v>13</v>
      </c>
      <c r="F78" s="2">
        <v>2000</v>
      </c>
      <c r="G78" s="3">
        <v>40909</v>
      </c>
      <c r="H78" s="2" t="s">
        <v>91</v>
      </c>
      <c r="I78" s="2" t="s">
        <v>15</v>
      </c>
      <c r="J78" s="2" t="s">
        <v>295</v>
      </c>
    </row>
    <row r="79" spans="1:10" x14ac:dyDescent="0.25">
      <c r="A79" s="2" t="s">
        <v>10</v>
      </c>
      <c r="B79" s="2" t="str">
        <f>"9780071351393"</f>
        <v>9780071351393</v>
      </c>
      <c r="C79" s="2" t="s">
        <v>296</v>
      </c>
      <c r="D79" s="2" t="s">
        <v>297</v>
      </c>
      <c r="E79" s="2" t="s">
        <v>13</v>
      </c>
      <c r="F79" s="2">
        <v>2001</v>
      </c>
      <c r="G79" s="3">
        <v>40909</v>
      </c>
      <c r="H79" s="2" t="s">
        <v>298</v>
      </c>
      <c r="I79" s="2" t="s">
        <v>15</v>
      </c>
      <c r="J79" s="2" t="s">
        <v>299</v>
      </c>
    </row>
    <row r="80" spans="1:10" x14ac:dyDescent="0.25">
      <c r="A80" s="2" t="s">
        <v>10</v>
      </c>
      <c r="B80" s="2" t="str">
        <f>"9780071351454"</f>
        <v>9780071351454</v>
      </c>
      <c r="C80" s="2" t="s">
        <v>300</v>
      </c>
      <c r="D80" s="2" t="s">
        <v>301</v>
      </c>
      <c r="E80" s="2" t="s">
        <v>13</v>
      </c>
      <c r="F80" s="2">
        <v>2000</v>
      </c>
      <c r="G80" s="3">
        <v>41622</v>
      </c>
      <c r="H80" s="2" t="s">
        <v>302</v>
      </c>
      <c r="I80" s="2" t="s">
        <v>15</v>
      </c>
      <c r="J80" s="2" t="s">
        <v>303</v>
      </c>
    </row>
    <row r="81" spans="1:10" x14ac:dyDescent="0.25">
      <c r="A81" s="2" t="s">
        <v>10</v>
      </c>
      <c r="B81" s="2" t="str">
        <f>"9780071351768"</f>
        <v>9780071351768</v>
      </c>
      <c r="C81" s="2" t="s">
        <v>304</v>
      </c>
      <c r="D81" s="2" t="s">
        <v>305</v>
      </c>
      <c r="E81" s="2" t="s">
        <v>13</v>
      </c>
      <c r="F81" s="2">
        <v>2002</v>
      </c>
      <c r="G81" s="3">
        <v>40909</v>
      </c>
      <c r="H81" s="2" t="s">
        <v>306</v>
      </c>
      <c r="I81" s="2" t="s">
        <v>15</v>
      </c>
      <c r="J81" s="2" t="s">
        <v>307</v>
      </c>
    </row>
    <row r="82" spans="1:10" x14ac:dyDescent="0.25">
      <c r="A82" s="2" t="s">
        <v>10</v>
      </c>
      <c r="B82" s="2" t="str">
        <f>"9780071352314"</f>
        <v>9780071352314</v>
      </c>
      <c r="C82" s="2" t="s">
        <v>308</v>
      </c>
      <c r="D82" s="2" t="s">
        <v>309</v>
      </c>
      <c r="E82" s="2" t="s">
        <v>13</v>
      </c>
      <c r="F82" s="2">
        <v>2001</v>
      </c>
      <c r="G82" s="3">
        <v>40909</v>
      </c>
      <c r="H82" s="2" t="s">
        <v>310</v>
      </c>
      <c r="I82" s="2" t="s">
        <v>15</v>
      </c>
      <c r="J82" s="2" t="s">
        <v>311</v>
      </c>
    </row>
    <row r="83" spans="1:10" x14ac:dyDescent="0.25">
      <c r="A83" s="2" t="s">
        <v>10</v>
      </c>
      <c r="B83" s="2" t="str">
        <f>"9780071353946"</f>
        <v>9780071353946</v>
      </c>
      <c r="C83" s="2" t="s">
        <v>312</v>
      </c>
      <c r="D83" s="2" t="s">
        <v>313</v>
      </c>
      <c r="E83" s="2" t="s">
        <v>13</v>
      </c>
      <c r="F83" s="2">
        <v>2001</v>
      </c>
      <c r="G83" s="3">
        <v>40909</v>
      </c>
      <c r="H83" s="2" t="s">
        <v>314</v>
      </c>
      <c r="I83" s="2" t="s">
        <v>15</v>
      </c>
      <c r="J83" s="2" t="s">
        <v>315</v>
      </c>
    </row>
    <row r="84" spans="1:10" x14ac:dyDescent="0.25">
      <c r="A84" s="2" t="s">
        <v>10</v>
      </c>
      <c r="B84" s="2" t="str">
        <f>"9780071354714"</f>
        <v>9780071354714</v>
      </c>
      <c r="C84" s="2" t="s">
        <v>316</v>
      </c>
      <c r="D84" s="2" t="s">
        <v>114</v>
      </c>
      <c r="E84" s="2" t="s">
        <v>13</v>
      </c>
      <c r="F84" s="2">
        <v>2001</v>
      </c>
      <c r="G84" s="3">
        <v>40909</v>
      </c>
      <c r="H84" s="2" t="s">
        <v>317</v>
      </c>
      <c r="I84" s="2" t="s">
        <v>15</v>
      </c>
      <c r="J84" s="2" t="s">
        <v>318</v>
      </c>
    </row>
    <row r="85" spans="1:10" x14ac:dyDescent="0.25">
      <c r="A85" s="2" t="s">
        <v>10</v>
      </c>
      <c r="B85" s="2" t="str">
        <f>"9780071356183"</f>
        <v>9780071356183</v>
      </c>
      <c r="C85" s="2" t="s">
        <v>319</v>
      </c>
      <c r="D85" s="2" t="s">
        <v>320</v>
      </c>
      <c r="E85" s="2" t="s">
        <v>13</v>
      </c>
      <c r="F85" s="2">
        <v>2000</v>
      </c>
      <c r="G85" s="3">
        <v>41622</v>
      </c>
      <c r="H85" s="2" t="s">
        <v>281</v>
      </c>
      <c r="I85" s="2" t="s">
        <v>15</v>
      </c>
      <c r="J85" s="2" t="s">
        <v>321</v>
      </c>
    </row>
    <row r="86" spans="1:10" x14ac:dyDescent="0.25">
      <c r="A86" s="2" t="s">
        <v>10</v>
      </c>
      <c r="B86" s="2" t="str">
        <f>"9780071356237"</f>
        <v>9780071356237</v>
      </c>
      <c r="C86" s="2" t="s">
        <v>322</v>
      </c>
      <c r="D86" s="2" t="s">
        <v>323</v>
      </c>
      <c r="E86" s="2" t="s">
        <v>13</v>
      </c>
      <c r="F86" s="2">
        <v>2002</v>
      </c>
      <c r="G86" s="3">
        <v>40909</v>
      </c>
      <c r="H86" s="2" t="s">
        <v>324</v>
      </c>
      <c r="I86" s="2" t="s">
        <v>15</v>
      </c>
      <c r="J86" s="2" t="s">
        <v>325</v>
      </c>
    </row>
    <row r="87" spans="1:10" hidden="1" x14ac:dyDescent="0.25">
      <c r="A87" s="2" t="s">
        <v>10</v>
      </c>
      <c r="B87" s="2" t="str">
        <f>"9780071356374"</f>
        <v>9780071356374</v>
      </c>
      <c r="C87" s="2" t="s">
        <v>326</v>
      </c>
      <c r="D87" s="2" t="s">
        <v>327</v>
      </c>
      <c r="E87" s="2" t="s">
        <v>13</v>
      </c>
      <c r="F87" s="2">
        <v>2003</v>
      </c>
      <c r="G87" s="3">
        <v>40909</v>
      </c>
      <c r="I87" s="2" t="s">
        <v>44</v>
      </c>
      <c r="J87" s="2" t="s">
        <v>328</v>
      </c>
    </row>
    <row r="88" spans="1:10" x14ac:dyDescent="0.25">
      <c r="A88" s="2" t="s">
        <v>10</v>
      </c>
      <c r="B88" s="2" t="str">
        <f>"9780071357586"</f>
        <v>9780071357586</v>
      </c>
      <c r="C88" s="2" t="s">
        <v>329</v>
      </c>
      <c r="D88" s="2" t="s">
        <v>330</v>
      </c>
      <c r="E88" s="2" t="s">
        <v>13</v>
      </c>
      <c r="F88" s="2">
        <v>2002</v>
      </c>
      <c r="G88" s="3">
        <v>42877</v>
      </c>
      <c r="H88" s="2" t="s">
        <v>331</v>
      </c>
      <c r="I88" s="2" t="s">
        <v>15</v>
      </c>
      <c r="J88" s="2" t="s">
        <v>332</v>
      </c>
    </row>
    <row r="89" spans="1:10" hidden="1" x14ac:dyDescent="0.25">
      <c r="A89" s="2" t="s">
        <v>10</v>
      </c>
      <c r="B89" s="2" t="str">
        <f>"9780071386258"</f>
        <v>9780071386258</v>
      </c>
      <c r="C89" s="2" t="s">
        <v>333</v>
      </c>
      <c r="D89" s="2" t="s">
        <v>334</v>
      </c>
      <c r="E89" s="2" t="s">
        <v>13</v>
      </c>
      <c r="F89" s="2">
        <v>2002</v>
      </c>
      <c r="G89" s="3">
        <v>40909</v>
      </c>
      <c r="I89" s="2" t="s">
        <v>44</v>
      </c>
      <c r="J89" s="2" t="s">
        <v>335</v>
      </c>
    </row>
    <row r="90" spans="1:10" x14ac:dyDescent="0.25">
      <c r="A90" s="2" t="s">
        <v>10</v>
      </c>
      <c r="B90" s="2" t="str">
        <f>"9780071374934"</f>
        <v>9780071374934</v>
      </c>
      <c r="C90" s="2" t="s">
        <v>336</v>
      </c>
      <c r="D90" s="2" t="s">
        <v>337</v>
      </c>
      <c r="E90" s="2" t="s">
        <v>13</v>
      </c>
      <c r="F90" s="2">
        <v>2002</v>
      </c>
      <c r="G90" s="3">
        <v>40909</v>
      </c>
      <c r="H90" s="2" t="s">
        <v>338</v>
      </c>
      <c r="I90" s="2" t="s">
        <v>15</v>
      </c>
      <c r="J90" s="2" t="s">
        <v>339</v>
      </c>
    </row>
    <row r="91" spans="1:10" x14ac:dyDescent="0.25">
      <c r="A91" s="2" t="s">
        <v>10</v>
      </c>
      <c r="B91" s="2" t="str">
        <f>"9780071360227"</f>
        <v>9780071360227</v>
      </c>
      <c r="C91" s="2" t="s">
        <v>340</v>
      </c>
      <c r="D91" s="2" t="s">
        <v>98</v>
      </c>
      <c r="E91" s="2" t="s">
        <v>13</v>
      </c>
      <c r="F91" s="2">
        <v>2001</v>
      </c>
      <c r="G91" s="3">
        <v>40909</v>
      </c>
      <c r="H91" s="2" t="s">
        <v>23</v>
      </c>
      <c r="I91" s="2" t="s">
        <v>15</v>
      </c>
      <c r="J91" s="2" t="s">
        <v>341</v>
      </c>
    </row>
    <row r="92" spans="1:10" x14ac:dyDescent="0.25">
      <c r="A92" s="2" t="s">
        <v>10</v>
      </c>
      <c r="B92" s="2" t="str">
        <f>"9780071369978"</f>
        <v>9780071369978</v>
      </c>
      <c r="C92" s="2" t="s">
        <v>342</v>
      </c>
      <c r="D92" s="2" t="s">
        <v>343</v>
      </c>
      <c r="E92" s="2" t="s">
        <v>13</v>
      </c>
      <c r="F92" s="2">
        <v>2001</v>
      </c>
      <c r="G92" s="3">
        <v>41622</v>
      </c>
      <c r="H92" s="2" t="s">
        <v>344</v>
      </c>
      <c r="I92" s="2" t="s">
        <v>15</v>
      </c>
      <c r="J92" s="2" t="s">
        <v>345</v>
      </c>
    </row>
    <row r="93" spans="1:10" hidden="1" x14ac:dyDescent="0.25">
      <c r="A93" s="2" t="s">
        <v>10</v>
      </c>
      <c r="B93" s="2" t="str">
        <f>"9780071361217"</f>
        <v>9780071361217</v>
      </c>
      <c r="C93" s="2" t="s">
        <v>346</v>
      </c>
      <c r="D93" s="2" t="s">
        <v>347</v>
      </c>
      <c r="E93" s="2" t="s">
        <v>13</v>
      </c>
      <c r="F93" s="2">
        <v>2001</v>
      </c>
      <c r="G93" s="3">
        <v>40909</v>
      </c>
      <c r="I93" s="2" t="s">
        <v>44</v>
      </c>
      <c r="J93" s="2" t="s">
        <v>348</v>
      </c>
    </row>
    <row r="94" spans="1:10" x14ac:dyDescent="0.25">
      <c r="A94" s="2" t="s">
        <v>10</v>
      </c>
      <c r="B94" s="2" t="str">
        <f>"9780071360760"</f>
        <v>9780071360760</v>
      </c>
      <c r="C94" s="2" t="s">
        <v>349</v>
      </c>
      <c r="D94" s="2" t="s">
        <v>350</v>
      </c>
      <c r="E94" s="2" t="s">
        <v>13</v>
      </c>
      <c r="F94" s="2">
        <v>2002</v>
      </c>
      <c r="G94" s="3">
        <v>40909</v>
      </c>
      <c r="H94" s="2" t="s">
        <v>351</v>
      </c>
      <c r="I94" s="2" t="s">
        <v>15</v>
      </c>
      <c r="J94" s="2" t="s">
        <v>352</v>
      </c>
    </row>
    <row r="95" spans="1:10" x14ac:dyDescent="0.25">
      <c r="A95" s="2" t="s">
        <v>10</v>
      </c>
      <c r="B95" s="2" t="str">
        <f>"9780071359566"</f>
        <v>9780071359566</v>
      </c>
      <c r="C95" s="2" t="s">
        <v>353</v>
      </c>
      <c r="D95" s="2" t="s">
        <v>354</v>
      </c>
      <c r="E95" s="2" t="s">
        <v>13</v>
      </c>
      <c r="F95" s="2">
        <v>2002</v>
      </c>
      <c r="G95" s="3">
        <v>40909</v>
      </c>
      <c r="H95" s="2" t="s">
        <v>131</v>
      </c>
      <c r="I95" s="2" t="s">
        <v>15</v>
      </c>
      <c r="J95" s="2" t="s">
        <v>355</v>
      </c>
    </row>
    <row r="96" spans="1:10" x14ac:dyDescent="0.25">
      <c r="A96" s="2" t="s">
        <v>10</v>
      </c>
      <c r="B96" s="2" t="str">
        <f>"9780071385466"</f>
        <v>9780071385466</v>
      </c>
      <c r="C96" s="2" t="s">
        <v>356</v>
      </c>
      <c r="D96" s="2" t="s">
        <v>357</v>
      </c>
      <c r="E96" s="2" t="s">
        <v>13</v>
      </c>
      <c r="F96" s="2">
        <v>2002</v>
      </c>
      <c r="G96" s="3">
        <v>40909</v>
      </c>
      <c r="H96" s="2" t="s">
        <v>358</v>
      </c>
      <c r="I96" s="2" t="s">
        <v>15</v>
      </c>
      <c r="J96" s="2" t="s">
        <v>359</v>
      </c>
    </row>
    <row r="97" spans="1:10" x14ac:dyDescent="0.25">
      <c r="A97" s="2" t="s">
        <v>10</v>
      </c>
      <c r="B97" s="2" t="str">
        <f>"9780071360661"</f>
        <v>9780071360661</v>
      </c>
      <c r="C97" s="2" t="s">
        <v>360</v>
      </c>
      <c r="D97" s="2" t="s">
        <v>361</v>
      </c>
      <c r="E97" s="2" t="s">
        <v>13</v>
      </c>
      <c r="F97" s="2">
        <v>2001</v>
      </c>
      <c r="G97" s="3">
        <v>40909</v>
      </c>
      <c r="H97" s="2" t="s">
        <v>362</v>
      </c>
      <c r="I97" s="2" t="s">
        <v>15</v>
      </c>
      <c r="J97" s="2" t="s">
        <v>363</v>
      </c>
    </row>
    <row r="98" spans="1:10" x14ac:dyDescent="0.25">
      <c r="A98" s="2" t="s">
        <v>10</v>
      </c>
      <c r="B98" s="2" t="str">
        <f>"9780071377577"</f>
        <v>9780071377577</v>
      </c>
      <c r="C98" s="2" t="s">
        <v>364</v>
      </c>
      <c r="D98" s="2" t="s">
        <v>365</v>
      </c>
      <c r="E98" s="2" t="s">
        <v>13</v>
      </c>
      <c r="F98" s="2">
        <v>2004</v>
      </c>
      <c r="G98" s="3">
        <v>40909</v>
      </c>
      <c r="H98" s="2" t="s">
        <v>366</v>
      </c>
      <c r="I98" s="2" t="s">
        <v>15</v>
      </c>
      <c r="J98" s="2" t="s">
        <v>367</v>
      </c>
    </row>
    <row r="99" spans="1:10" hidden="1" x14ac:dyDescent="0.25">
      <c r="A99" s="2" t="s">
        <v>10</v>
      </c>
      <c r="B99" s="2" t="str">
        <f>"9780071362290"</f>
        <v>9780071362290</v>
      </c>
      <c r="C99" s="2" t="s">
        <v>368</v>
      </c>
      <c r="D99" s="2" t="s">
        <v>369</v>
      </c>
      <c r="E99" s="2" t="s">
        <v>13</v>
      </c>
      <c r="F99" s="2">
        <v>2003</v>
      </c>
      <c r="G99" s="3">
        <v>41367</v>
      </c>
      <c r="I99" s="2" t="s">
        <v>44</v>
      </c>
      <c r="J99" s="2" t="s">
        <v>370</v>
      </c>
    </row>
    <row r="100" spans="1:10" x14ac:dyDescent="0.25">
      <c r="A100" s="2" t="s">
        <v>10</v>
      </c>
      <c r="B100" s="2" t="str">
        <f>"9780071359672"</f>
        <v>9780071359672</v>
      </c>
      <c r="C100" s="2" t="s">
        <v>371</v>
      </c>
      <c r="D100" s="2" t="s">
        <v>372</v>
      </c>
      <c r="E100" s="2" t="s">
        <v>13</v>
      </c>
      <c r="F100" s="2">
        <v>1999</v>
      </c>
      <c r="G100" s="3">
        <v>40910</v>
      </c>
      <c r="H100" s="2" t="s">
        <v>373</v>
      </c>
      <c r="I100" s="2" t="s">
        <v>15</v>
      </c>
      <c r="J100" s="2" t="s">
        <v>374</v>
      </c>
    </row>
    <row r="101" spans="1:10" x14ac:dyDescent="0.25">
      <c r="A101" s="2" t="s">
        <v>10</v>
      </c>
      <c r="B101" s="2" t="str">
        <f>"9780071382151"</f>
        <v>9780071382151</v>
      </c>
      <c r="C101" s="2" t="s">
        <v>375</v>
      </c>
      <c r="D101" s="2" t="s">
        <v>376</v>
      </c>
      <c r="E101" s="2" t="s">
        <v>13</v>
      </c>
      <c r="F101" s="2">
        <v>2002</v>
      </c>
      <c r="G101" s="3">
        <v>40909</v>
      </c>
      <c r="H101" s="2" t="s">
        <v>377</v>
      </c>
      <c r="I101" s="2" t="s">
        <v>15</v>
      </c>
      <c r="J101" s="2" t="s">
        <v>378</v>
      </c>
    </row>
    <row r="102" spans="1:10" hidden="1" x14ac:dyDescent="0.25">
      <c r="A102" s="2" t="s">
        <v>10</v>
      </c>
      <c r="B102" s="2" t="str">
        <f>"9780071363815"</f>
        <v>9780071363815</v>
      </c>
      <c r="C102" s="2" t="s">
        <v>379</v>
      </c>
      <c r="D102" s="2" t="s">
        <v>380</v>
      </c>
      <c r="E102" s="2" t="s">
        <v>13</v>
      </c>
      <c r="F102" s="2">
        <v>2002</v>
      </c>
      <c r="G102" s="3">
        <v>40909</v>
      </c>
      <c r="I102" s="2" t="s">
        <v>44</v>
      </c>
      <c r="J102" s="2" t="s">
        <v>381</v>
      </c>
    </row>
    <row r="103" spans="1:10" hidden="1" x14ac:dyDescent="0.25">
      <c r="A103" s="2" t="s">
        <v>10</v>
      </c>
      <c r="B103" s="2" t="str">
        <f>"9780071391092"</f>
        <v>9780071391092</v>
      </c>
      <c r="C103" s="2" t="s">
        <v>382</v>
      </c>
      <c r="D103" s="2" t="s">
        <v>383</v>
      </c>
      <c r="E103" s="2" t="s">
        <v>13</v>
      </c>
      <c r="F103" s="2">
        <v>2004</v>
      </c>
      <c r="G103" s="3">
        <v>40909</v>
      </c>
      <c r="I103" s="2" t="s">
        <v>44</v>
      </c>
      <c r="J103" s="2" t="s">
        <v>384</v>
      </c>
    </row>
    <row r="104" spans="1:10" hidden="1" x14ac:dyDescent="0.25">
      <c r="A104" s="2" t="s">
        <v>10</v>
      </c>
      <c r="B104" s="2" t="str">
        <f>"9780071377829"</f>
        <v>9780071377829</v>
      </c>
      <c r="C104" s="2" t="s">
        <v>385</v>
      </c>
      <c r="D104" s="2" t="s">
        <v>386</v>
      </c>
      <c r="E104" s="2" t="s">
        <v>13</v>
      </c>
      <c r="F104" s="2">
        <v>2002</v>
      </c>
      <c r="G104" s="3">
        <v>40909</v>
      </c>
      <c r="I104" s="2" t="s">
        <v>44</v>
      </c>
      <c r="J104" s="2" t="s">
        <v>387</v>
      </c>
    </row>
    <row r="105" spans="1:10" x14ac:dyDescent="0.25">
      <c r="A105" s="2" t="s">
        <v>10</v>
      </c>
      <c r="B105" s="2" t="str">
        <f>"9780071386241"</f>
        <v>9780071386241</v>
      </c>
      <c r="C105" s="2" t="s">
        <v>388</v>
      </c>
      <c r="D105" s="2" t="s">
        <v>389</v>
      </c>
      <c r="E105" s="2" t="s">
        <v>13</v>
      </c>
      <c r="F105" s="2">
        <v>2003</v>
      </c>
      <c r="G105" s="3">
        <v>40909</v>
      </c>
      <c r="H105" s="2" t="s">
        <v>338</v>
      </c>
      <c r="I105" s="2" t="s">
        <v>15</v>
      </c>
      <c r="J105" s="2" t="s">
        <v>390</v>
      </c>
    </row>
    <row r="106" spans="1:10" x14ac:dyDescent="0.25">
      <c r="A106" s="2" t="s">
        <v>10</v>
      </c>
      <c r="B106" s="2" t="str">
        <f>"9780071367127"</f>
        <v>9780071367127</v>
      </c>
      <c r="C106" s="2" t="s">
        <v>391</v>
      </c>
      <c r="D106" s="2" t="s">
        <v>392</v>
      </c>
      <c r="E106" s="2" t="s">
        <v>13</v>
      </c>
      <c r="F106" s="2">
        <v>2001</v>
      </c>
      <c r="G106" s="3">
        <v>40909</v>
      </c>
      <c r="H106" s="2" t="s">
        <v>393</v>
      </c>
      <c r="I106" s="2" t="s">
        <v>15</v>
      </c>
      <c r="J106" s="2" t="s">
        <v>394</v>
      </c>
    </row>
    <row r="107" spans="1:10" x14ac:dyDescent="0.25">
      <c r="A107" s="2" t="s">
        <v>10</v>
      </c>
      <c r="B107" s="2" t="str">
        <f>"9780071363273"</f>
        <v>9780071363273</v>
      </c>
      <c r="C107" s="2" t="s">
        <v>395</v>
      </c>
      <c r="D107" s="2" t="s">
        <v>389</v>
      </c>
      <c r="E107" s="2" t="s">
        <v>13</v>
      </c>
      <c r="F107" s="2">
        <v>2001</v>
      </c>
      <c r="G107" s="3">
        <v>40909</v>
      </c>
      <c r="H107" s="2" t="s">
        <v>396</v>
      </c>
      <c r="I107" s="2" t="s">
        <v>15</v>
      </c>
      <c r="J107" s="2" t="s">
        <v>397</v>
      </c>
    </row>
    <row r="108" spans="1:10" x14ac:dyDescent="0.25">
      <c r="A108" s="2" t="s">
        <v>10</v>
      </c>
      <c r="B108" s="2" t="str">
        <f>"9780071387576"</f>
        <v>9780071387576</v>
      </c>
      <c r="C108" s="2" t="s">
        <v>398</v>
      </c>
      <c r="D108" s="2" t="s">
        <v>399</v>
      </c>
      <c r="E108" s="2" t="s">
        <v>13</v>
      </c>
      <c r="F108" s="2">
        <v>2002</v>
      </c>
      <c r="G108" s="3">
        <v>42273</v>
      </c>
      <c r="H108" s="2" t="s">
        <v>281</v>
      </c>
      <c r="I108" s="2" t="s">
        <v>15</v>
      </c>
      <c r="J108" s="2" t="s">
        <v>400</v>
      </c>
    </row>
    <row r="109" spans="1:10" hidden="1" x14ac:dyDescent="0.25">
      <c r="A109" s="2" t="s">
        <v>10</v>
      </c>
      <c r="B109" s="2" t="str">
        <f>"9780071380386"</f>
        <v>9780071380386</v>
      </c>
      <c r="C109" s="2" t="s">
        <v>401</v>
      </c>
      <c r="D109" s="2" t="s">
        <v>402</v>
      </c>
      <c r="E109" s="2" t="s">
        <v>13</v>
      </c>
      <c r="F109" s="2">
        <v>2002</v>
      </c>
      <c r="G109" s="3">
        <v>40909</v>
      </c>
      <c r="I109" s="2" t="s">
        <v>44</v>
      </c>
      <c r="J109" s="2" t="s">
        <v>403</v>
      </c>
    </row>
    <row r="110" spans="1:10" hidden="1" x14ac:dyDescent="0.25">
      <c r="A110" s="2" t="s">
        <v>10</v>
      </c>
      <c r="B110" s="2" t="str">
        <f>"9780071389969"</f>
        <v>9780071389969</v>
      </c>
      <c r="C110" s="2" t="s">
        <v>404</v>
      </c>
      <c r="D110" s="2" t="s">
        <v>334</v>
      </c>
      <c r="E110" s="2" t="s">
        <v>13</v>
      </c>
      <c r="F110" s="2">
        <v>2002</v>
      </c>
      <c r="G110" s="3">
        <v>40909</v>
      </c>
      <c r="I110" s="2" t="s">
        <v>44</v>
      </c>
      <c r="J110" s="2" t="s">
        <v>405</v>
      </c>
    </row>
    <row r="111" spans="1:10" x14ac:dyDescent="0.25">
      <c r="A111" s="2" t="s">
        <v>10</v>
      </c>
      <c r="B111" s="2" t="str">
        <f>"9780071360975"</f>
        <v>9780071360975</v>
      </c>
      <c r="C111" s="2" t="s">
        <v>406</v>
      </c>
      <c r="D111" s="2" t="s">
        <v>407</v>
      </c>
      <c r="E111" s="2" t="s">
        <v>13</v>
      </c>
      <c r="F111" s="2">
        <v>2001</v>
      </c>
      <c r="G111" s="3">
        <v>40909</v>
      </c>
      <c r="H111" s="2" t="s">
        <v>408</v>
      </c>
      <c r="I111" s="2" t="s">
        <v>15</v>
      </c>
      <c r="J111" s="2" t="s">
        <v>409</v>
      </c>
    </row>
    <row r="112" spans="1:10" x14ac:dyDescent="0.25">
      <c r="A112" s="2" t="s">
        <v>10</v>
      </c>
      <c r="B112" s="2" t="str">
        <f>"9780071371605"</f>
        <v>9780071371605</v>
      </c>
      <c r="C112" s="2" t="s">
        <v>410</v>
      </c>
      <c r="D112" s="2" t="s">
        <v>114</v>
      </c>
      <c r="E112" s="2" t="s">
        <v>13</v>
      </c>
      <c r="F112" s="2">
        <v>2002</v>
      </c>
      <c r="G112" s="3">
        <v>40909</v>
      </c>
      <c r="H112" s="2" t="s">
        <v>411</v>
      </c>
      <c r="I112" s="2" t="s">
        <v>15</v>
      </c>
      <c r="J112" s="2" t="s">
        <v>412</v>
      </c>
    </row>
    <row r="113" spans="1:10" x14ac:dyDescent="0.25">
      <c r="A113" s="2" t="s">
        <v>10</v>
      </c>
      <c r="B113" s="2" t="str">
        <f>"9780071364294"</f>
        <v>9780071364294</v>
      </c>
      <c r="C113" s="2" t="s">
        <v>413</v>
      </c>
      <c r="D113" s="2" t="s">
        <v>414</v>
      </c>
      <c r="E113" s="2" t="s">
        <v>13</v>
      </c>
      <c r="F113" s="2">
        <v>2000</v>
      </c>
      <c r="G113" s="3">
        <v>41622</v>
      </c>
      <c r="H113" s="2" t="s">
        <v>344</v>
      </c>
      <c r="I113" s="2" t="s">
        <v>15</v>
      </c>
      <c r="J113" s="2" t="s">
        <v>415</v>
      </c>
    </row>
    <row r="114" spans="1:10" x14ac:dyDescent="0.25">
      <c r="A114" s="2" t="s">
        <v>10</v>
      </c>
      <c r="B114" s="2" t="str">
        <f>"9780071384766"</f>
        <v>9780071384766</v>
      </c>
      <c r="C114" s="2" t="s">
        <v>416</v>
      </c>
      <c r="D114" s="2" t="s">
        <v>75</v>
      </c>
      <c r="E114" s="2" t="s">
        <v>13</v>
      </c>
      <c r="F114" s="2">
        <v>2002</v>
      </c>
      <c r="G114" s="3">
        <v>40909</v>
      </c>
      <c r="H114" s="2" t="s">
        <v>76</v>
      </c>
      <c r="I114" s="2" t="s">
        <v>15</v>
      </c>
      <c r="J114" s="2" t="s">
        <v>417</v>
      </c>
    </row>
    <row r="115" spans="1:10" x14ac:dyDescent="0.25">
      <c r="A115" s="2" t="s">
        <v>10</v>
      </c>
      <c r="B115" s="2" t="str">
        <f>"9780071367073"</f>
        <v>9780071367073</v>
      </c>
      <c r="C115" s="2" t="s">
        <v>418</v>
      </c>
      <c r="D115" s="2" t="s">
        <v>419</v>
      </c>
      <c r="E115" s="2" t="s">
        <v>13</v>
      </c>
      <c r="F115" s="2">
        <v>2003</v>
      </c>
      <c r="G115" s="3">
        <v>40909</v>
      </c>
      <c r="H115" s="2" t="s">
        <v>420</v>
      </c>
      <c r="I115" s="2" t="s">
        <v>15</v>
      </c>
      <c r="J115" s="2" t="s">
        <v>421</v>
      </c>
    </row>
    <row r="116" spans="1:10" hidden="1" x14ac:dyDescent="0.25">
      <c r="A116" s="2" t="s">
        <v>10</v>
      </c>
      <c r="B116" s="2" t="str">
        <f>"9780071371698"</f>
        <v>9780071371698</v>
      </c>
      <c r="C116" s="2" t="s">
        <v>422</v>
      </c>
      <c r="D116" s="2" t="s">
        <v>423</v>
      </c>
      <c r="E116" s="2" t="s">
        <v>13</v>
      </c>
      <c r="F116" s="2">
        <v>2001</v>
      </c>
      <c r="G116" s="3">
        <v>40909</v>
      </c>
      <c r="I116" s="2" t="s">
        <v>44</v>
      </c>
      <c r="J116" s="2" t="s">
        <v>424</v>
      </c>
    </row>
    <row r="117" spans="1:10" x14ac:dyDescent="0.25">
      <c r="A117" s="2" t="s">
        <v>10</v>
      </c>
      <c r="B117" s="2" t="str">
        <f>"9780071375993"</f>
        <v>9780071375993</v>
      </c>
      <c r="C117" s="2" t="s">
        <v>425</v>
      </c>
      <c r="D117" s="2" t="s">
        <v>426</v>
      </c>
      <c r="E117" s="2" t="s">
        <v>13</v>
      </c>
      <c r="F117" s="2">
        <v>2002</v>
      </c>
      <c r="G117" s="3">
        <v>42122</v>
      </c>
      <c r="H117" s="2" t="s">
        <v>427</v>
      </c>
      <c r="I117" s="2" t="s">
        <v>15</v>
      </c>
      <c r="J117" s="2" t="s">
        <v>428</v>
      </c>
    </row>
    <row r="118" spans="1:10" hidden="1" x14ac:dyDescent="0.25">
      <c r="A118" s="2" t="s">
        <v>10</v>
      </c>
      <c r="B118" s="2" t="str">
        <f>"9780071362986"</f>
        <v>9780071362986</v>
      </c>
      <c r="C118" s="2" t="s">
        <v>429</v>
      </c>
      <c r="D118" s="2" t="s">
        <v>430</v>
      </c>
      <c r="E118" s="2" t="s">
        <v>13</v>
      </c>
      <c r="F118" s="2">
        <v>2001</v>
      </c>
      <c r="G118" s="3">
        <v>40909</v>
      </c>
      <c r="I118" s="2" t="s">
        <v>44</v>
      </c>
      <c r="J118" s="2" t="s">
        <v>431</v>
      </c>
    </row>
    <row r="119" spans="1:10" x14ac:dyDescent="0.25">
      <c r="A119" s="2" t="s">
        <v>10</v>
      </c>
      <c r="B119" s="2" t="str">
        <f>"9780071387781"</f>
        <v>9780071387781</v>
      </c>
      <c r="C119" s="2" t="s">
        <v>432</v>
      </c>
      <c r="D119" s="2" t="s">
        <v>433</v>
      </c>
      <c r="E119" s="2" t="s">
        <v>13</v>
      </c>
      <c r="F119" s="2">
        <v>2003</v>
      </c>
      <c r="G119" s="3">
        <v>40909</v>
      </c>
      <c r="H119" s="2" t="s">
        <v>434</v>
      </c>
      <c r="I119" s="2" t="s">
        <v>15</v>
      </c>
      <c r="J119" s="2" t="s">
        <v>435</v>
      </c>
    </row>
    <row r="120" spans="1:10" x14ac:dyDescent="0.25">
      <c r="A120" s="2" t="s">
        <v>10</v>
      </c>
      <c r="B120" s="2" t="str">
        <f>"9780071370455"</f>
        <v>9780071370455</v>
      </c>
      <c r="C120" s="2" t="s">
        <v>436</v>
      </c>
      <c r="D120" s="2" t="s">
        <v>437</v>
      </c>
      <c r="E120" s="2" t="s">
        <v>13</v>
      </c>
      <c r="F120" s="2">
        <v>2002</v>
      </c>
      <c r="G120" s="3">
        <v>40909</v>
      </c>
      <c r="H120" s="2" t="s">
        <v>76</v>
      </c>
      <c r="I120" s="2" t="s">
        <v>15</v>
      </c>
      <c r="J120" s="2" t="s">
        <v>438</v>
      </c>
    </row>
    <row r="121" spans="1:10" x14ac:dyDescent="0.25">
      <c r="A121" s="2" t="s">
        <v>10</v>
      </c>
      <c r="B121" s="2" t="str">
        <f>"9780071363723"</f>
        <v>9780071363723</v>
      </c>
      <c r="C121" s="2" t="s">
        <v>439</v>
      </c>
      <c r="D121" s="2" t="s">
        <v>440</v>
      </c>
      <c r="E121" s="2" t="s">
        <v>13</v>
      </c>
      <c r="F121" s="2">
        <v>2002</v>
      </c>
      <c r="G121" s="3">
        <v>42244</v>
      </c>
      <c r="H121" s="2" t="s">
        <v>441</v>
      </c>
      <c r="I121" s="2" t="s">
        <v>15</v>
      </c>
      <c r="J121" s="2" t="s">
        <v>442</v>
      </c>
    </row>
    <row r="122" spans="1:10" x14ac:dyDescent="0.25">
      <c r="A122" s="2" t="s">
        <v>10</v>
      </c>
      <c r="B122" s="2" t="str">
        <f>"9780071361927"</f>
        <v>9780071361927</v>
      </c>
      <c r="C122" s="2" t="s">
        <v>443</v>
      </c>
      <c r="D122" s="2" t="s">
        <v>444</v>
      </c>
      <c r="E122" s="2" t="s">
        <v>13</v>
      </c>
      <c r="F122" s="2">
        <v>2002</v>
      </c>
      <c r="G122" s="3">
        <v>40909</v>
      </c>
      <c r="H122" s="2" t="s">
        <v>445</v>
      </c>
      <c r="I122" s="2" t="s">
        <v>15</v>
      </c>
      <c r="J122" s="2" t="s">
        <v>446</v>
      </c>
    </row>
    <row r="123" spans="1:10" x14ac:dyDescent="0.25">
      <c r="A123" s="2" t="s">
        <v>10</v>
      </c>
      <c r="B123" s="2" t="str">
        <f>"9780071364317"</f>
        <v>9780071364317</v>
      </c>
      <c r="C123" s="2" t="s">
        <v>447</v>
      </c>
      <c r="D123" s="2" t="s">
        <v>448</v>
      </c>
      <c r="E123" s="2" t="s">
        <v>13</v>
      </c>
      <c r="F123" s="2">
        <v>2001</v>
      </c>
      <c r="G123" s="3">
        <v>41816</v>
      </c>
      <c r="H123" s="2" t="s">
        <v>449</v>
      </c>
      <c r="I123" s="2" t="s">
        <v>15</v>
      </c>
      <c r="J123" s="2" t="s">
        <v>450</v>
      </c>
    </row>
    <row r="124" spans="1:10" x14ac:dyDescent="0.25">
      <c r="A124" s="2" t="s">
        <v>10</v>
      </c>
      <c r="B124" s="2" t="str">
        <f>"9780071373319"</f>
        <v>9780071373319</v>
      </c>
      <c r="C124" s="2" t="s">
        <v>451</v>
      </c>
      <c r="D124" s="2" t="s">
        <v>452</v>
      </c>
      <c r="E124" s="2" t="s">
        <v>13</v>
      </c>
      <c r="F124" s="2">
        <v>2002</v>
      </c>
      <c r="G124" s="3">
        <v>40909</v>
      </c>
      <c r="H124" s="2" t="s">
        <v>453</v>
      </c>
      <c r="I124" s="2" t="s">
        <v>15</v>
      </c>
      <c r="J124" s="2" t="s">
        <v>454</v>
      </c>
    </row>
    <row r="125" spans="1:10" hidden="1" x14ac:dyDescent="0.25">
      <c r="A125" s="2" t="s">
        <v>10</v>
      </c>
      <c r="B125" s="2" t="str">
        <f>"9780071376204"</f>
        <v>9780071376204</v>
      </c>
      <c r="C125" s="2" t="s">
        <v>455</v>
      </c>
      <c r="D125" s="2" t="s">
        <v>456</v>
      </c>
      <c r="E125" s="2" t="s">
        <v>13</v>
      </c>
      <c r="F125" s="2">
        <v>2002</v>
      </c>
      <c r="G125" s="3">
        <v>40909</v>
      </c>
      <c r="I125" s="2" t="s">
        <v>44</v>
      </c>
      <c r="J125" s="2" t="s">
        <v>457</v>
      </c>
    </row>
    <row r="126" spans="1:10" x14ac:dyDescent="0.25">
      <c r="A126" s="2" t="s">
        <v>10</v>
      </c>
      <c r="B126" s="2" t="str">
        <f>"9780071377515"</f>
        <v>9780071377515</v>
      </c>
      <c r="C126" s="2" t="s">
        <v>458</v>
      </c>
      <c r="D126" s="2" t="s">
        <v>164</v>
      </c>
      <c r="E126" s="2" t="s">
        <v>13</v>
      </c>
      <c r="F126" s="2">
        <v>2003</v>
      </c>
      <c r="G126" s="3">
        <v>40909</v>
      </c>
      <c r="H126" s="2" t="s">
        <v>60</v>
      </c>
      <c r="I126" s="2" t="s">
        <v>15</v>
      </c>
      <c r="J126" s="2" t="s">
        <v>459</v>
      </c>
    </row>
    <row r="127" spans="1:10" x14ac:dyDescent="0.25">
      <c r="A127" s="2" t="s">
        <v>10</v>
      </c>
      <c r="B127" s="2" t="str">
        <f>"9780071385190"</f>
        <v>9780071385190</v>
      </c>
      <c r="C127" s="2" t="s">
        <v>460</v>
      </c>
      <c r="D127" s="2" t="s">
        <v>461</v>
      </c>
      <c r="E127" s="2" t="s">
        <v>13</v>
      </c>
      <c r="F127" s="2">
        <v>2004</v>
      </c>
      <c r="G127" s="3">
        <v>40909</v>
      </c>
      <c r="H127" s="2" t="s">
        <v>462</v>
      </c>
      <c r="I127" s="2" t="s">
        <v>15</v>
      </c>
      <c r="J127" s="2" t="s">
        <v>463</v>
      </c>
    </row>
    <row r="128" spans="1:10" x14ac:dyDescent="0.25">
      <c r="A128" s="2" t="s">
        <v>10</v>
      </c>
      <c r="B128" s="2" t="str">
        <f>"9780071370677"</f>
        <v>9780071370677</v>
      </c>
      <c r="C128" s="2" t="s">
        <v>464</v>
      </c>
      <c r="D128" s="2" t="s">
        <v>465</v>
      </c>
      <c r="E128" s="2" t="s">
        <v>13</v>
      </c>
      <c r="F128" s="2">
        <v>2001</v>
      </c>
      <c r="G128" s="3">
        <v>40909</v>
      </c>
      <c r="H128" s="2" t="s">
        <v>165</v>
      </c>
      <c r="I128" s="2" t="s">
        <v>15</v>
      </c>
      <c r="J128" s="2" t="s">
        <v>466</v>
      </c>
    </row>
    <row r="129" spans="1:10" x14ac:dyDescent="0.25">
      <c r="A129" s="2" t="s">
        <v>10</v>
      </c>
      <c r="B129" s="2" t="str">
        <f>"9780071374330"</f>
        <v>9780071374330</v>
      </c>
      <c r="C129" s="2" t="s">
        <v>467</v>
      </c>
      <c r="D129" s="2" t="s">
        <v>468</v>
      </c>
      <c r="E129" s="2" t="s">
        <v>13</v>
      </c>
      <c r="F129" s="2">
        <v>2002</v>
      </c>
      <c r="G129" s="3">
        <v>41227</v>
      </c>
      <c r="H129" s="2" t="s">
        <v>469</v>
      </c>
      <c r="I129" s="2" t="s">
        <v>15</v>
      </c>
      <c r="J129" s="2" t="s">
        <v>470</v>
      </c>
    </row>
    <row r="130" spans="1:10" x14ac:dyDescent="0.25">
      <c r="A130" s="2" t="s">
        <v>10</v>
      </c>
      <c r="B130" s="2" t="str">
        <f>"9780071377843"</f>
        <v>9780071377843</v>
      </c>
      <c r="C130" s="2" t="s">
        <v>471</v>
      </c>
      <c r="D130" s="2" t="s">
        <v>472</v>
      </c>
      <c r="E130" s="2" t="s">
        <v>13</v>
      </c>
      <c r="F130" s="2">
        <v>2002</v>
      </c>
      <c r="G130" s="3">
        <v>40909</v>
      </c>
      <c r="H130" s="2" t="s">
        <v>473</v>
      </c>
      <c r="I130" s="2" t="s">
        <v>15</v>
      </c>
      <c r="J130" s="2" t="s">
        <v>474</v>
      </c>
    </row>
    <row r="131" spans="1:10" x14ac:dyDescent="0.25">
      <c r="A131" s="2" t="s">
        <v>10</v>
      </c>
      <c r="B131" s="2" t="str">
        <f>"9780071384216"</f>
        <v>9780071384216</v>
      </c>
      <c r="C131" s="2" t="s">
        <v>475</v>
      </c>
      <c r="D131" s="2" t="s">
        <v>476</v>
      </c>
      <c r="E131" s="2" t="s">
        <v>13</v>
      </c>
      <c r="F131" s="2">
        <v>2005</v>
      </c>
      <c r="G131" s="3">
        <v>41198</v>
      </c>
      <c r="H131" s="2" t="s">
        <v>477</v>
      </c>
      <c r="I131" s="2" t="s">
        <v>15</v>
      </c>
      <c r="J131" s="2" t="s">
        <v>478</v>
      </c>
    </row>
    <row r="132" spans="1:10" x14ac:dyDescent="0.25">
      <c r="A132" s="2" t="s">
        <v>10</v>
      </c>
      <c r="B132" s="2" t="str">
        <f>"9780071370080"</f>
        <v>9780071370080</v>
      </c>
      <c r="C132" s="2" t="s">
        <v>479</v>
      </c>
      <c r="D132" s="2" t="s">
        <v>480</v>
      </c>
      <c r="E132" s="2" t="s">
        <v>13</v>
      </c>
      <c r="F132" s="2">
        <v>2002</v>
      </c>
      <c r="G132" s="3">
        <v>40909</v>
      </c>
      <c r="H132" s="2" t="s">
        <v>481</v>
      </c>
      <c r="I132" s="2" t="s">
        <v>15</v>
      </c>
      <c r="J132" s="2" t="s">
        <v>482</v>
      </c>
    </row>
    <row r="133" spans="1:10" x14ac:dyDescent="0.25">
      <c r="A133" s="2" t="s">
        <v>10</v>
      </c>
      <c r="B133" s="2" t="str">
        <f>"9780071364737"</f>
        <v>9780071364737</v>
      </c>
      <c r="C133" s="2" t="s">
        <v>483</v>
      </c>
      <c r="D133" s="2" t="s">
        <v>484</v>
      </c>
      <c r="E133" s="2" t="s">
        <v>13</v>
      </c>
      <c r="F133" s="2">
        <v>2004</v>
      </c>
      <c r="G133" s="3">
        <v>40909</v>
      </c>
      <c r="H133" s="2" t="s">
        <v>485</v>
      </c>
      <c r="I133" s="2" t="s">
        <v>15</v>
      </c>
      <c r="J133" s="2" t="s">
        <v>486</v>
      </c>
    </row>
    <row r="134" spans="1:10" hidden="1" x14ac:dyDescent="0.25">
      <c r="A134" s="2" t="s">
        <v>10</v>
      </c>
      <c r="B134" s="2" t="str">
        <f>"9780071399197"</f>
        <v>9780071399197</v>
      </c>
      <c r="C134" s="2" t="s">
        <v>487</v>
      </c>
      <c r="D134" s="2" t="s">
        <v>488</v>
      </c>
      <c r="E134" s="2" t="s">
        <v>13</v>
      </c>
      <c r="F134" s="2">
        <v>2003</v>
      </c>
      <c r="G134" s="3">
        <v>40909</v>
      </c>
      <c r="I134" s="2" t="s">
        <v>44</v>
      </c>
      <c r="J134" s="2" t="s">
        <v>489</v>
      </c>
    </row>
    <row r="135" spans="1:10" hidden="1" x14ac:dyDescent="0.25">
      <c r="A135" s="2" t="s">
        <v>10</v>
      </c>
      <c r="B135" s="2" t="str">
        <f>"9780071400701"</f>
        <v>9780071400701</v>
      </c>
      <c r="C135" s="2" t="s">
        <v>490</v>
      </c>
      <c r="D135" s="2" t="s">
        <v>491</v>
      </c>
      <c r="E135" s="2" t="s">
        <v>13</v>
      </c>
      <c r="F135" s="2">
        <v>2002</v>
      </c>
      <c r="G135" s="3">
        <v>40909</v>
      </c>
      <c r="I135" s="2" t="s">
        <v>44</v>
      </c>
      <c r="J135" s="2" t="s">
        <v>492</v>
      </c>
    </row>
    <row r="136" spans="1:10" hidden="1" x14ac:dyDescent="0.25">
      <c r="A136" s="2" t="s">
        <v>10</v>
      </c>
      <c r="B136" s="2" t="str">
        <f>"9780071398251"</f>
        <v>9780071398251</v>
      </c>
      <c r="C136" s="2" t="s">
        <v>493</v>
      </c>
      <c r="D136" s="2" t="s">
        <v>494</v>
      </c>
      <c r="E136" s="2" t="s">
        <v>13</v>
      </c>
      <c r="F136" s="2">
        <v>2004</v>
      </c>
      <c r="G136" s="3">
        <v>40909</v>
      </c>
      <c r="I136" s="2" t="s">
        <v>44</v>
      </c>
      <c r="J136" s="2" t="s">
        <v>495</v>
      </c>
    </row>
    <row r="137" spans="1:10" x14ac:dyDescent="0.25">
      <c r="A137" s="2" t="s">
        <v>10</v>
      </c>
      <c r="B137" s="2" t="str">
        <f>"9780071408752"</f>
        <v>9780071408752</v>
      </c>
      <c r="C137" s="2" t="s">
        <v>496</v>
      </c>
      <c r="D137" s="2" t="s">
        <v>497</v>
      </c>
      <c r="E137" s="2" t="s">
        <v>13</v>
      </c>
      <c r="F137" s="2">
        <v>2003</v>
      </c>
      <c r="G137" s="3">
        <v>40909</v>
      </c>
      <c r="H137" s="2" t="s">
        <v>187</v>
      </c>
      <c r="I137" s="2" t="s">
        <v>15</v>
      </c>
      <c r="J137" s="2" t="s">
        <v>498</v>
      </c>
    </row>
    <row r="138" spans="1:10" x14ac:dyDescent="0.25">
      <c r="A138" s="2" t="s">
        <v>10</v>
      </c>
      <c r="B138" s="2" t="str">
        <f>"9780071410410"</f>
        <v>9780071410410</v>
      </c>
      <c r="C138" s="2" t="s">
        <v>499</v>
      </c>
      <c r="D138" s="2" t="s">
        <v>327</v>
      </c>
      <c r="E138" s="2" t="s">
        <v>13</v>
      </c>
      <c r="F138" s="2">
        <v>2006</v>
      </c>
      <c r="G138" s="3">
        <v>40909</v>
      </c>
      <c r="H138" s="2" t="s">
        <v>500</v>
      </c>
      <c r="I138" s="2" t="s">
        <v>15</v>
      </c>
      <c r="J138" s="2" t="s">
        <v>501</v>
      </c>
    </row>
    <row r="139" spans="1:10" x14ac:dyDescent="0.25">
      <c r="A139" s="2" t="s">
        <v>10</v>
      </c>
      <c r="B139" s="2" t="str">
        <f>"9780071406109"</f>
        <v>9780071406109</v>
      </c>
      <c r="C139" s="2" t="s">
        <v>502</v>
      </c>
      <c r="D139" s="2" t="s">
        <v>503</v>
      </c>
      <c r="E139" s="2" t="s">
        <v>13</v>
      </c>
      <c r="F139" s="2">
        <v>2003</v>
      </c>
      <c r="G139" s="3">
        <v>42170</v>
      </c>
      <c r="H139" s="2" t="s">
        <v>504</v>
      </c>
      <c r="I139" s="2" t="s">
        <v>15</v>
      </c>
      <c r="J139" s="2" t="s">
        <v>505</v>
      </c>
    </row>
    <row r="140" spans="1:10" x14ac:dyDescent="0.25">
      <c r="A140" s="2" t="s">
        <v>10</v>
      </c>
      <c r="B140" s="2" t="str">
        <f>"9780071430371"</f>
        <v>9780071430371</v>
      </c>
      <c r="C140" s="2" t="s">
        <v>506</v>
      </c>
      <c r="D140" s="2" t="s">
        <v>507</v>
      </c>
      <c r="E140" s="2" t="s">
        <v>13</v>
      </c>
      <c r="F140" s="2">
        <v>2004</v>
      </c>
      <c r="G140" s="3">
        <v>40909</v>
      </c>
      <c r="H140" s="2" t="s">
        <v>508</v>
      </c>
      <c r="I140" s="2" t="s">
        <v>15</v>
      </c>
      <c r="J140" s="2" t="s">
        <v>509</v>
      </c>
    </row>
    <row r="141" spans="1:10" x14ac:dyDescent="0.25">
      <c r="A141" s="2" t="s">
        <v>10</v>
      </c>
      <c r="B141" s="2" t="str">
        <f>"9780071425315"</f>
        <v>9780071425315</v>
      </c>
      <c r="C141" s="2" t="s">
        <v>510</v>
      </c>
      <c r="D141" s="2" t="s">
        <v>114</v>
      </c>
      <c r="E141" s="2" t="s">
        <v>13</v>
      </c>
      <c r="F141" s="2">
        <v>2004</v>
      </c>
      <c r="G141" s="3">
        <v>40909</v>
      </c>
      <c r="H141" s="2" t="s">
        <v>511</v>
      </c>
      <c r="I141" s="2" t="s">
        <v>15</v>
      </c>
      <c r="J141" s="2" t="s">
        <v>512</v>
      </c>
    </row>
    <row r="142" spans="1:10" x14ac:dyDescent="0.25">
      <c r="A142" s="2" t="s">
        <v>10</v>
      </c>
      <c r="B142" s="2" t="str">
        <f>"9780071418201"</f>
        <v>9780071418201</v>
      </c>
      <c r="C142" s="2" t="s">
        <v>513</v>
      </c>
      <c r="D142" s="2" t="s">
        <v>514</v>
      </c>
      <c r="E142" s="2" t="s">
        <v>13</v>
      </c>
      <c r="F142" s="2">
        <v>2004</v>
      </c>
      <c r="G142" s="3">
        <v>40909</v>
      </c>
      <c r="H142" s="2" t="s">
        <v>515</v>
      </c>
      <c r="I142" s="2" t="s">
        <v>15</v>
      </c>
      <c r="J142" s="2" t="s">
        <v>516</v>
      </c>
    </row>
    <row r="143" spans="1:10" x14ac:dyDescent="0.25">
      <c r="A143" s="2" t="s">
        <v>10</v>
      </c>
      <c r="B143" s="2" t="str">
        <f>"9780071441643"</f>
        <v>9780071441643</v>
      </c>
      <c r="C143" s="2" t="s">
        <v>517</v>
      </c>
      <c r="D143" s="2" t="s">
        <v>518</v>
      </c>
      <c r="E143" s="2" t="s">
        <v>13</v>
      </c>
      <c r="F143" s="2">
        <v>2004</v>
      </c>
      <c r="G143" s="3">
        <v>40909</v>
      </c>
      <c r="H143" s="2" t="s">
        <v>519</v>
      </c>
      <c r="I143" s="2" t="s">
        <v>15</v>
      </c>
      <c r="J143" s="2" t="s">
        <v>520</v>
      </c>
    </row>
    <row r="144" spans="1:10" hidden="1" x14ac:dyDescent="0.25">
      <c r="A144" s="2" t="s">
        <v>10</v>
      </c>
      <c r="B144" s="2" t="str">
        <f>"9780071422949"</f>
        <v>9780071422949</v>
      </c>
      <c r="C144" s="2" t="s">
        <v>521</v>
      </c>
      <c r="D144" s="2" t="s">
        <v>522</v>
      </c>
      <c r="E144" s="2" t="s">
        <v>13</v>
      </c>
      <c r="F144" s="2">
        <v>2008</v>
      </c>
      <c r="G144" s="3">
        <v>41262</v>
      </c>
      <c r="I144" s="2" t="s">
        <v>44</v>
      </c>
      <c r="J144" s="2" t="s">
        <v>523</v>
      </c>
    </row>
    <row r="145" spans="1:10" x14ac:dyDescent="0.25">
      <c r="A145" s="2" t="s">
        <v>10</v>
      </c>
      <c r="B145" s="2" t="str">
        <f>"9780071421737"</f>
        <v>9780071421737</v>
      </c>
      <c r="C145" s="2" t="s">
        <v>524</v>
      </c>
      <c r="D145" s="2" t="s">
        <v>525</v>
      </c>
      <c r="E145" s="2" t="s">
        <v>13</v>
      </c>
      <c r="F145" s="2">
        <v>2004</v>
      </c>
      <c r="G145" s="3">
        <v>41999</v>
      </c>
      <c r="H145" s="2" t="s">
        <v>449</v>
      </c>
      <c r="I145" s="2" t="s">
        <v>15</v>
      </c>
      <c r="J145" s="2" t="s">
        <v>526</v>
      </c>
    </row>
    <row r="146" spans="1:10" hidden="1" x14ac:dyDescent="0.25">
      <c r="A146" s="2" t="s">
        <v>10</v>
      </c>
      <c r="B146" s="2" t="str">
        <f>"9780071432412"</f>
        <v>9780071432412</v>
      </c>
      <c r="C146" s="2" t="s">
        <v>527</v>
      </c>
      <c r="D146" s="2" t="s">
        <v>528</v>
      </c>
      <c r="E146" s="2" t="s">
        <v>13</v>
      </c>
      <c r="F146" s="2">
        <v>2004</v>
      </c>
      <c r="G146" s="3">
        <v>40909</v>
      </c>
      <c r="I146" s="2" t="s">
        <v>44</v>
      </c>
      <c r="J146" s="2" t="s">
        <v>529</v>
      </c>
    </row>
    <row r="147" spans="1:10" hidden="1" x14ac:dyDescent="0.25">
      <c r="A147" s="2" t="s">
        <v>10</v>
      </c>
      <c r="B147" s="2" t="str">
        <f>"9780071432184"</f>
        <v>9780071432184</v>
      </c>
      <c r="C147" s="2" t="s">
        <v>530</v>
      </c>
      <c r="D147" s="2" t="s">
        <v>531</v>
      </c>
      <c r="E147" s="2" t="s">
        <v>13</v>
      </c>
      <c r="F147" s="2" t="s">
        <v>532</v>
      </c>
      <c r="G147" s="3">
        <v>40909</v>
      </c>
      <c r="I147" s="2" t="s">
        <v>44</v>
      </c>
      <c r="J147" s="2" t="s">
        <v>533</v>
      </c>
    </row>
    <row r="148" spans="1:10" x14ac:dyDescent="0.25">
      <c r="A148" s="2" t="s">
        <v>10</v>
      </c>
      <c r="B148" s="2" t="str">
        <f>"9780071430081"</f>
        <v>9780071430081</v>
      </c>
      <c r="C148" s="2" t="s">
        <v>534</v>
      </c>
      <c r="D148" s="2" t="s">
        <v>535</v>
      </c>
      <c r="E148" s="2" t="s">
        <v>13</v>
      </c>
      <c r="F148" s="2">
        <v>2006</v>
      </c>
      <c r="G148" s="3">
        <v>41851</v>
      </c>
      <c r="H148" s="2" t="s">
        <v>536</v>
      </c>
      <c r="I148" s="2" t="s">
        <v>15</v>
      </c>
      <c r="J148" s="2" t="s">
        <v>537</v>
      </c>
    </row>
    <row r="149" spans="1:10" x14ac:dyDescent="0.25">
      <c r="A149" s="2" t="s">
        <v>10</v>
      </c>
      <c r="B149" s="2" t="str">
        <f>"9780071422666"</f>
        <v>9780071422666</v>
      </c>
      <c r="C149" s="2" t="s">
        <v>538</v>
      </c>
      <c r="D149" s="2" t="s">
        <v>539</v>
      </c>
      <c r="E149" s="2" t="s">
        <v>13</v>
      </c>
      <c r="F149" s="2">
        <v>2005</v>
      </c>
      <c r="G149" s="3">
        <v>41727</v>
      </c>
      <c r="H149" s="2" t="s">
        <v>540</v>
      </c>
      <c r="I149" s="2" t="s">
        <v>15</v>
      </c>
      <c r="J149" s="2" t="s">
        <v>541</v>
      </c>
    </row>
    <row r="150" spans="1:10" x14ac:dyDescent="0.25">
      <c r="A150" s="2" t="s">
        <v>10</v>
      </c>
      <c r="B150" s="2" t="str">
        <f>"9780071411806"</f>
        <v>9780071411806</v>
      </c>
      <c r="C150" s="2" t="s">
        <v>542</v>
      </c>
      <c r="D150" s="2" t="s">
        <v>543</v>
      </c>
      <c r="E150" s="2" t="s">
        <v>13</v>
      </c>
      <c r="F150" s="2">
        <v>2003</v>
      </c>
      <c r="G150" s="3">
        <v>40909</v>
      </c>
      <c r="H150" s="2" t="s">
        <v>544</v>
      </c>
      <c r="I150" s="2" t="s">
        <v>15</v>
      </c>
      <c r="J150" s="2" t="s">
        <v>545</v>
      </c>
    </row>
    <row r="151" spans="1:10" x14ac:dyDescent="0.25">
      <c r="A151" s="2" t="s">
        <v>10</v>
      </c>
      <c r="B151" s="2" t="str">
        <f>"9780071410373"</f>
        <v>9780071410373</v>
      </c>
      <c r="C151" s="2" t="s">
        <v>546</v>
      </c>
      <c r="D151" s="2" t="s">
        <v>547</v>
      </c>
      <c r="E151" s="2" t="s">
        <v>13</v>
      </c>
      <c r="F151" s="2">
        <v>2005</v>
      </c>
      <c r="G151" s="3">
        <v>41727</v>
      </c>
      <c r="H151" s="2" t="s">
        <v>548</v>
      </c>
      <c r="I151" s="2" t="s">
        <v>15</v>
      </c>
      <c r="J151" s="2" t="s">
        <v>549</v>
      </c>
    </row>
    <row r="152" spans="1:10" hidden="1" x14ac:dyDescent="0.25">
      <c r="A152" s="2" t="s">
        <v>10</v>
      </c>
      <c r="B152" s="2" t="str">
        <f>"9780071428675"</f>
        <v>9780071428675</v>
      </c>
      <c r="C152" s="2" t="s">
        <v>550</v>
      </c>
      <c r="D152" s="2" t="s">
        <v>551</v>
      </c>
      <c r="E152" s="2" t="s">
        <v>13</v>
      </c>
      <c r="F152" s="2">
        <v>2007</v>
      </c>
      <c r="G152" s="3">
        <v>40909</v>
      </c>
      <c r="I152" s="2" t="s">
        <v>44</v>
      </c>
      <c r="J152" s="2" t="s">
        <v>552</v>
      </c>
    </row>
    <row r="153" spans="1:10" hidden="1" x14ac:dyDescent="0.25">
      <c r="A153" s="2" t="s">
        <v>10</v>
      </c>
      <c r="B153" s="2" t="str">
        <f>"9780071432207"</f>
        <v>9780071432207</v>
      </c>
      <c r="C153" s="2" t="s">
        <v>553</v>
      </c>
      <c r="D153" s="2" t="s">
        <v>554</v>
      </c>
      <c r="E153" s="2" t="s">
        <v>13</v>
      </c>
      <c r="F153" s="2">
        <v>2005</v>
      </c>
      <c r="G153" s="3">
        <v>41431</v>
      </c>
      <c r="I153" s="2" t="s">
        <v>44</v>
      </c>
      <c r="J153" s="2" t="s">
        <v>555</v>
      </c>
    </row>
    <row r="154" spans="1:10" hidden="1" x14ac:dyDescent="0.25">
      <c r="A154" s="2" t="s">
        <v>10</v>
      </c>
      <c r="B154" s="2" t="str">
        <f>"9780071409278"</f>
        <v>9780071409278</v>
      </c>
      <c r="C154" s="2" t="s">
        <v>556</v>
      </c>
      <c r="D154" s="2" t="s">
        <v>557</v>
      </c>
      <c r="E154" s="2" t="s">
        <v>13</v>
      </c>
      <c r="F154" s="2">
        <v>2003</v>
      </c>
      <c r="G154" s="3">
        <v>40909</v>
      </c>
      <c r="I154" s="2" t="s">
        <v>44</v>
      </c>
      <c r="J154" s="2" t="s">
        <v>558</v>
      </c>
    </row>
    <row r="155" spans="1:10" x14ac:dyDescent="0.25">
      <c r="A155" s="2" t="s">
        <v>10</v>
      </c>
      <c r="B155" s="2" t="str">
        <f>"9780071440905"</f>
        <v>9780071440905</v>
      </c>
      <c r="C155" s="2" t="s">
        <v>559</v>
      </c>
      <c r="D155" s="2" t="s">
        <v>560</v>
      </c>
      <c r="E155" s="2" t="s">
        <v>13</v>
      </c>
      <c r="F155" s="2">
        <v>2005</v>
      </c>
      <c r="G155" s="3">
        <v>41696</v>
      </c>
      <c r="H155" s="2" t="s">
        <v>561</v>
      </c>
      <c r="I155" s="2" t="s">
        <v>15</v>
      </c>
      <c r="J155" s="2" t="s">
        <v>562</v>
      </c>
    </row>
    <row r="156" spans="1:10" x14ac:dyDescent="0.25">
      <c r="A156" s="2" t="s">
        <v>10</v>
      </c>
      <c r="B156" s="2" t="str">
        <f>"9780071432085"</f>
        <v>9780071432085</v>
      </c>
      <c r="C156" s="2" t="s">
        <v>563</v>
      </c>
      <c r="D156" s="2" t="s">
        <v>564</v>
      </c>
      <c r="E156" s="2" t="s">
        <v>13</v>
      </c>
      <c r="F156" s="2">
        <v>2004</v>
      </c>
      <c r="G156" s="3">
        <v>40909</v>
      </c>
      <c r="H156" s="2" t="s">
        <v>565</v>
      </c>
      <c r="I156" s="2" t="s">
        <v>15</v>
      </c>
      <c r="J156" s="2" t="s">
        <v>566</v>
      </c>
    </row>
    <row r="157" spans="1:10" x14ac:dyDescent="0.25">
      <c r="A157" s="2" t="s">
        <v>10</v>
      </c>
      <c r="B157" s="2" t="str">
        <f>"9780071392310"</f>
        <v>9780071392310</v>
      </c>
      <c r="C157" s="2" t="s">
        <v>567</v>
      </c>
      <c r="D157" s="2" t="s">
        <v>568</v>
      </c>
      <c r="E157" s="2" t="s">
        <v>13</v>
      </c>
      <c r="F157" s="2">
        <v>2004</v>
      </c>
      <c r="G157" s="3">
        <v>41622</v>
      </c>
      <c r="H157" s="2" t="s">
        <v>569</v>
      </c>
      <c r="I157" s="2" t="s">
        <v>15</v>
      </c>
      <c r="J157" s="2" t="s">
        <v>570</v>
      </c>
    </row>
    <row r="158" spans="1:10" x14ac:dyDescent="0.25">
      <c r="A158" s="2" t="s">
        <v>10</v>
      </c>
      <c r="B158" s="2" t="str">
        <f>"9780071436731"</f>
        <v>9780071436731</v>
      </c>
      <c r="C158" s="2" t="s">
        <v>571</v>
      </c>
      <c r="D158" s="2" t="s">
        <v>572</v>
      </c>
      <c r="E158" s="2" t="s">
        <v>13</v>
      </c>
      <c r="F158" s="2">
        <v>2004</v>
      </c>
      <c r="G158" s="3">
        <v>40909</v>
      </c>
      <c r="H158" s="2" t="s">
        <v>573</v>
      </c>
      <c r="I158" s="2" t="s">
        <v>15</v>
      </c>
      <c r="J158" s="2" t="s">
        <v>574</v>
      </c>
    </row>
    <row r="159" spans="1:10" x14ac:dyDescent="0.25">
      <c r="A159" s="2" t="s">
        <v>10</v>
      </c>
      <c r="B159" s="2" t="str">
        <f>"9780071402149"</f>
        <v>9780071402149</v>
      </c>
      <c r="C159" s="2" t="s">
        <v>575</v>
      </c>
      <c r="D159" s="2" t="s">
        <v>75</v>
      </c>
      <c r="E159" s="2" t="s">
        <v>13</v>
      </c>
      <c r="F159" s="2">
        <v>2004</v>
      </c>
      <c r="G159" s="3">
        <v>40909</v>
      </c>
      <c r="H159" s="2" t="s">
        <v>576</v>
      </c>
      <c r="I159" s="2" t="s">
        <v>15</v>
      </c>
      <c r="J159" s="2" t="s">
        <v>577</v>
      </c>
    </row>
    <row r="160" spans="1:10" x14ac:dyDescent="0.25">
      <c r="A160" s="2" t="s">
        <v>10</v>
      </c>
      <c r="B160" s="2" t="str">
        <f>"9780071412049"</f>
        <v>9780071412049</v>
      </c>
      <c r="C160" s="2" t="s">
        <v>578</v>
      </c>
      <c r="D160" s="2" t="s">
        <v>579</v>
      </c>
      <c r="E160" s="2" t="s">
        <v>13</v>
      </c>
      <c r="F160" s="2">
        <v>2003</v>
      </c>
      <c r="G160" s="3">
        <v>40909</v>
      </c>
      <c r="H160" s="2" t="s">
        <v>580</v>
      </c>
      <c r="I160" s="2" t="s">
        <v>15</v>
      </c>
      <c r="J160" s="2" t="s">
        <v>581</v>
      </c>
    </row>
    <row r="161" spans="1:10" x14ac:dyDescent="0.25">
      <c r="A161" s="2" t="s">
        <v>10</v>
      </c>
      <c r="B161" s="2" t="str">
        <f>"9780071395113"</f>
        <v>9780071395113</v>
      </c>
      <c r="C161" s="2" t="s">
        <v>582</v>
      </c>
      <c r="D161" s="2" t="s">
        <v>583</v>
      </c>
      <c r="E161" s="2" t="s">
        <v>13</v>
      </c>
      <c r="F161" s="2">
        <v>2002</v>
      </c>
      <c r="G161" s="3">
        <v>40909</v>
      </c>
      <c r="H161" s="2" t="s">
        <v>536</v>
      </c>
      <c r="I161" s="2" t="s">
        <v>15</v>
      </c>
      <c r="J161" s="2" t="s">
        <v>584</v>
      </c>
    </row>
    <row r="162" spans="1:10" x14ac:dyDescent="0.25">
      <c r="A162" s="2" t="s">
        <v>10</v>
      </c>
      <c r="B162" s="2" t="str">
        <f>"9780071396035"</f>
        <v>9780071396035</v>
      </c>
      <c r="C162" s="2" t="s">
        <v>585</v>
      </c>
      <c r="D162" s="2" t="s">
        <v>586</v>
      </c>
      <c r="E162" s="2" t="s">
        <v>13</v>
      </c>
      <c r="F162" s="2">
        <v>2003</v>
      </c>
      <c r="G162" s="3">
        <v>40909</v>
      </c>
      <c r="H162" s="2" t="s">
        <v>60</v>
      </c>
      <c r="I162" s="2" t="s">
        <v>15</v>
      </c>
      <c r="J162" s="2" t="s">
        <v>587</v>
      </c>
    </row>
    <row r="163" spans="1:10" x14ac:dyDescent="0.25">
      <c r="A163" s="2" t="s">
        <v>10</v>
      </c>
      <c r="B163" s="2" t="str">
        <f>"9780071436861"</f>
        <v>9780071436861</v>
      </c>
      <c r="C163" s="2" t="s">
        <v>588</v>
      </c>
      <c r="D163" s="2" t="s">
        <v>94</v>
      </c>
      <c r="E163" s="2" t="s">
        <v>13</v>
      </c>
      <c r="F163" s="2">
        <v>2006</v>
      </c>
      <c r="G163" s="3">
        <v>40909</v>
      </c>
      <c r="H163" s="2" t="s">
        <v>589</v>
      </c>
      <c r="I163" s="2" t="s">
        <v>15</v>
      </c>
      <c r="J163" s="2" t="s">
        <v>590</v>
      </c>
    </row>
    <row r="164" spans="1:10" x14ac:dyDescent="0.25">
      <c r="A164" s="2" t="s">
        <v>10</v>
      </c>
      <c r="B164" s="2" t="str">
        <f>"9780071395953"</f>
        <v>9780071395953</v>
      </c>
      <c r="C164" s="2" t="s">
        <v>591</v>
      </c>
      <c r="D164" s="2" t="s">
        <v>592</v>
      </c>
      <c r="E164" s="2" t="s">
        <v>13</v>
      </c>
      <c r="F164" s="2">
        <v>2003</v>
      </c>
      <c r="G164" s="3">
        <v>40909</v>
      </c>
      <c r="H164" s="2" t="s">
        <v>593</v>
      </c>
      <c r="I164" s="2" t="s">
        <v>15</v>
      </c>
      <c r="J164" s="2" t="s">
        <v>594</v>
      </c>
    </row>
    <row r="165" spans="1:10" hidden="1" x14ac:dyDescent="0.25">
      <c r="A165" s="2" t="s">
        <v>10</v>
      </c>
      <c r="B165" s="2" t="str">
        <f>"9780071410427"</f>
        <v>9780071410427</v>
      </c>
      <c r="C165" s="2" t="s">
        <v>595</v>
      </c>
      <c r="D165" s="2" t="s">
        <v>383</v>
      </c>
      <c r="E165" s="2" t="s">
        <v>13</v>
      </c>
      <c r="F165" s="2">
        <v>2005</v>
      </c>
      <c r="G165" s="3">
        <v>41999</v>
      </c>
      <c r="I165" s="2" t="s">
        <v>44</v>
      </c>
      <c r="J165" s="2" t="s">
        <v>596</v>
      </c>
    </row>
    <row r="166" spans="1:10" x14ac:dyDescent="0.25">
      <c r="A166" s="2" t="s">
        <v>10</v>
      </c>
      <c r="B166" s="2" t="str">
        <f>"9780071410601"</f>
        <v>9780071410601</v>
      </c>
      <c r="C166" s="2" t="s">
        <v>597</v>
      </c>
      <c r="D166" s="2" t="s">
        <v>598</v>
      </c>
      <c r="E166" s="2" t="s">
        <v>13</v>
      </c>
      <c r="F166" s="2">
        <v>2004</v>
      </c>
      <c r="G166" s="3">
        <v>40909</v>
      </c>
      <c r="H166" s="2" t="s">
        <v>599</v>
      </c>
      <c r="I166" s="2" t="s">
        <v>15</v>
      </c>
      <c r="J166" s="2" t="s">
        <v>600</v>
      </c>
    </row>
    <row r="167" spans="1:10" hidden="1" x14ac:dyDescent="0.25">
      <c r="A167" s="2" t="s">
        <v>10</v>
      </c>
      <c r="B167" s="2" t="str">
        <f>"9780071402019"</f>
        <v>9780071402019</v>
      </c>
      <c r="C167" s="2" t="s">
        <v>601</v>
      </c>
      <c r="D167" s="2" t="s">
        <v>602</v>
      </c>
      <c r="E167" s="2" t="s">
        <v>13</v>
      </c>
      <c r="F167" s="2">
        <v>2004</v>
      </c>
      <c r="G167" s="3">
        <v>40909</v>
      </c>
      <c r="I167" s="2" t="s">
        <v>44</v>
      </c>
      <c r="J167" s="2" t="s">
        <v>603</v>
      </c>
    </row>
    <row r="168" spans="1:10" x14ac:dyDescent="0.25">
      <c r="A168" s="2" t="s">
        <v>10</v>
      </c>
      <c r="B168" s="2" t="str">
        <f>"9780071391337"</f>
        <v>9780071391337</v>
      </c>
      <c r="C168" s="2" t="s">
        <v>604</v>
      </c>
      <c r="D168" s="2" t="s">
        <v>605</v>
      </c>
      <c r="E168" s="2" t="s">
        <v>13</v>
      </c>
      <c r="F168" s="2">
        <v>2003</v>
      </c>
      <c r="G168" s="3">
        <v>42170</v>
      </c>
      <c r="H168" s="2" t="s">
        <v>606</v>
      </c>
      <c r="I168" s="2" t="s">
        <v>15</v>
      </c>
      <c r="J168" s="2" t="s">
        <v>607</v>
      </c>
    </row>
    <row r="169" spans="1:10" x14ac:dyDescent="0.25">
      <c r="A169" s="2" t="s">
        <v>10</v>
      </c>
      <c r="B169" s="2" t="str">
        <f>"9780071413770"</f>
        <v>9780071413770</v>
      </c>
      <c r="C169" s="2" t="s">
        <v>608</v>
      </c>
      <c r="D169" s="2" t="s">
        <v>609</v>
      </c>
      <c r="E169" s="2" t="s">
        <v>13</v>
      </c>
      <c r="F169" s="2">
        <v>2003</v>
      </c>
      <c r="G169" s="3">
        <v>41622</v>
      </c>
      <c r="H169" s="2" t="s">
        <v>610</v>
      </c>
      <c r="I169" s="2" t="s">
        <v>15</v>
      </c>
      <c r="J169" s="2" t="s">
        <v>611</v>
      </c>
    </row>
    <row r="170" spans="1:10" hidden="1" x14ac:dyDescent="0.25">
      <c r="A170" s="2" t="s">
        <v>10</v>
      </c>
      <c r="B170" s="2" t="str">
        <f>"9780071430586"</f>
        <v>9780071430586</v>
      </c>
      <c r="C170" s="2" t="s">
        <v>612</v>
      </c>
      <c r="D170" s="2" t="s">
        <v>613</v>
      </c>
      <c r="E170" s="2" t="s">
        <v>13</v>
      </c>
      <c r="F170" s="2">
        <v>2005</v>
      </c>
      <c r="G170" s="3">
        <v>40909</v>
      </c>
      <c r="I170" s="2" t="s">
        <v>44</v>
      </c>
      <c r="J170" s="2" t="s">
        <v>614</v>
      </c>
    </row>
    <row r="171" spans="1:10" x14ac:dyDescent="0.25">
      <c r="A171" s="2" t="s">
        <v>10</v>
      </c>
      <c r="B171" s="2" t="str">
        <f>"9780071409445"</f>
        <v>9780071409445</v>
      </c>
      <c r="C171" s="2" t="s">
        <v>615</v>
      </c>
      <c r="D171" s="2" t="s">
        <v>616</v>
      </c>
      <c r="E171" s="2" t="s">
        <v>13</v>
      </c>
      <c r="F171" s="2">
        <v>2003</v>
      </c>
      <c r="G171" s="3">
        <v>40909</v>
      </c>
      <c r="H171" s="2" t="s">
        <v>617</v>
      </c>
      <c r="I171" s="2" t="s">
        <v>15</v>
      </c>
      <c r="J171" s="2" t="s">
        <v>618</v>
      </c>
    </row>
    <row r="172" spans="1:10" x14ac:dyDescent="0.25">
      <c r="A172" s="2" t="s">
        <v>10</v>
      </c>
      <c r="B172" s="2" t="str">
        <f>"9780071457675"</f>
        <v>9780071457675</v>
      </c>
      <c r="C172" s="2" t="s">
        <v>619</v>
      </c>
      <c r="D172" s="2" t="s">
        <v>620</v>
      </c>
      <c r="E172" s="2" t="s">
        <v>13</v>
      </c>
      <c r="F172" s="2">
        <v>2006</v>
      </c>
      <c r="G172" s="3">
        <v>41971</v>
      </c>
      <c r="H172" s="2" t="s">
        <v>621</v>
      </c>
      <c r="I172" s="2" t="s">
        <v>15</v>
      </c>
      <c r="J172" s="2" t="s">
        <v>622</v>
      </c>
    </row>
    <row r="173" spans="1:10" x14ac:dyDescent="0.25">
      <c r="A173" s="2" t="s">
        <v>10</v>
      </c>
      <c r="B173" s="2" t="str">
        <f>"9780071460682"</f>
        <v>9780071460682</v>
      </c>
      <c r="C173" s="2" t="s">
        <v>623</v>
      </c>
      <c r="D173" s="2" t="s">
        <v>75</v>
      </c>
      <c r="E173" s="2" t="s">
        <v>13</v>
      </c>
      <c r="F173" s="2">
        <v>2006</v>
      </c>
      <c r="G173" s="3">
        <v>40909</v>
      </c>
      <c r="H173" s="2" t="s">
        <v>76</v>
      </c>
      <c r="I173" s="2" t="s">
        <v>15</v>
      </c>
      <c r="J173" s="2" t="s">
        <v>624</v>
      </c>
    </row>
    <row r="174" spans="1:10" x14ac:dyDescent="0.25">
      <c r="A174" s="2" t="s">
        <v>10</v>
      </c>
      <c r="B174" s="2" t="str">
        <f>"9780071462983"</f>
        <v>9780071462983</v>
      </c>
      <c r="C174" s="2" t="s">
        <v>625</v>
      </c>
      <c r="D174" s="2" t="s">
        <v>626</v>
      </c>
      <c r="E174" s="2" t="s">
        <v>13</v>
      </c>
      <c r="F174" s="2">
        <v>2006</v>
      </c>
      <c r="G174" s="3">
        <v>40909</v>
      </c>
      <c r="H174" s="2" t="s">
        <v>48</v>
      </c>
      <c r="I174" s="2" t="s">
        <v>15</v>
      </c>
      <c r="J174" s="2" t="s">
        <v>627</v>
      </c>
    </row>
    <row r="175" spans="1:10" x14ac:dyDescent="0.25">
      <c r="A175" s="2" t="s">
        <v>10</v>
      </c>
      <c r="B175" s="2" t="str">
        <f>"9780071445559"</f>
        <v>9780071445559</v>
      </c>
      <c r="C175" s="2" t="s">
        <v>628</v>
      </c>
      <c r="D175" s="2" t="s">
        <v>564</v>
      </c>
      <c r="E175" s="2" t="s">
        <v>13</v>
      </c>
      <c r="F175" s="2">
        <v>2005</v>
      </c>
      <c r="G175" s="3">
        <v>40909</v>
      </c>
      <c r="H175" s="2" t="s">
        <v>536</v>
      </c>
      <c r="I175" s="2" t="s">
        <v>15</v>
      </c>
      <c r="J175" s="2" t="s">
        <v>629</v>
      </c>
    </row>
    <row r="176" spans="1:10" hidden="1" x14ac:dyDescent="0.25">
      <c r="A176" s="2" t="s">
        <v>10</v>
      </c>
      <c r="B176" s="2" t="str">
        <f>"9780071455060"</f>
        <v>9780071455060</v>
      </c>
      <c r="C176" s="2" t="s">
        <v>630</v>
      </c>
      <c r="D176" s="2" t="s">
        <v>631</v>
      </c>
      <c r="E176" s="2" t="s">
        <v>13</v>
      </c>
      <c r="F176" s="2">
        <v>2005</v>
      </c>
      <c r="G176" s="3">
        <v>40909</v>
      </c>
      <c r="I176" s="2" t="s">
        <v>44</v>
      </c>
      <c r="J176" s="2" t="s">
        <v>632</v>
      </c>
    </row>
    <row r="177" spans="1:10" x14ac:dyDescent="0.25">
      <c r="A177" s="2" t="s">
        <v>10</v>
      </c>
      <c r="B177" s="2" t="str">
        <f>"9780071464192"</f>
        <v>9780071464192</v>
      </c>
      <c r="C177" s="2" t="s">
        <v>633</v>
      </c>
      <c r="D177" s="2" t="s">
        <v>634</v>
      </c>
      <c r="E177" s="2" t="s">
        <v>13</v>
      </c>
      <c r="F177" s="2">
        <v>2006</v>
      </c>
      <c r="G177" s="3">
        <v>40909</v>
      </c>
      <c r="H177" s="2" t="s">
        <v>635</v>
      </c>
      <c r="I177" s="2" t="s">
        <v>15</v>
      </c>
      <c r="J177" s="2" t="s">
        <v>636</v>
      </c>
    </row>
    <row r="178" spans="1:10" x14ac:dyDescent="0.25">
      <c r="A178" s="2" t="s">
        <v>10</v>
      </c>
      <c r="B178" s="2" t="str">
        <f>"9780071472272"</f>
        <v>9780071472272</v>
      </c>
      <c r="C178" s="2" t="s">
        <v>637</v>
      </c>
      <c r="D178" s="2" t="s">
        <v>638</v>
      </c>
      <c r="E178" s="2" t="s">
        <v>13</v>
      </c>
      <c r="F178" s="2">
        <v>2009</v>
      </c>
      <c r="G178" s="3">
        <v>40939</v>
      </c>
      <c r="H178" s="2" t="s">
        <v>639</v>
      </c>
      <c r="I178" s="2" t="s">
        <v>15</v>
      </c>
      <c r="J178" s="2" t="s">
        <v>640</v>
      </c>
    </row>
    <row r="179" spans="1:10" hidden="1" x14ac:dyDescent="0.25">
      <c r="A179" s="2" t="s">
        <v>10</v>
      </c>
      <c r="B179" s="2" t="str">
        <f>"9780071459518"</f>
        <v>9780071459518</v>
      </c>
      <c r="C179" s="2" t="s">
        <v>641</v>
      </c>
      <c r="D179" s="2" t="s">
        <v>642</v>
      </c>
      <c r="E179" s="2" t="s">
        <v>13</v>
      </c>
      <c r="F179" s="2">
        <v>2006</v>
      </c>
      <c r="G179" s="3">
        <v>40907</v>
      </c>
      <c r="I179" s="2" t="s">
        <v>44</v>
      </c>
      <c r="J179" s="2" t="s">
        <v>643</v>
      </c>
    </row>
    <row r="180" spans="1:10" x14ac:dyDescent="0.25">
      <c r="A180" s="2" t="s">
        <v>10</v>
      </c>
      <c r="B180" s="2" t="str">
        <f>"9780071453417"</f>
        <v>9780071453417</v>
      </c>
      <c r="C180" s="2" t="s">
        <v>644</v>
      </c>
      <c r="D180" s="2" t="s">
        <v>645</v>
      </c>
      <c r="E180" s="2" t="s">
        <v>13</v>
      </c>
      <c r="F180" s="2">
        <v>2005</v>
      </c>
      <c r="G180" s="3">
        <v>42095</v>
      </c>
      <c r="H180" s="2" t="s">
        <v>646</v>
      </c>
      <c r="I180" s="2" t="s">
        <v>15</v>
      </c>
      <c r="J180" s="2" t="s">
        <v>647</v>
      </c>
    </row>
    <row r="181" spans="1:10" x14ac:dyDescent="0.25">
      <c r="A181" s="2" t="s">
        <v>10</v>
      </c>
      <c r="B181" s="2" t="str">
        <f>"9780071455381"</f>
        <v>9780071455381</v>
      </c>
      <c r="C181" s="2" t="s">
        <v>648</v>
      </c>
      <c r="D181" s="2" t="s">
        <v>649</v>
      </c>
      <c r="E181" s="2" t="s">
        <v>13</v>
      </c>
      <c r="F181" s="2">
        <v>2006</v>
      </c>
      <c r="G181" s="3">
        <v>40909</v>
      </c>
      <c r="H181" s="2" t="s">
        <v>650</v>
      </c>
      <c r="I181" s="2" t="s">
        <v>15</v>
      </c>
      <c r="J181" s="2" t="s">
        <v>651</v>
      </c>
    </row>
    <row r="182" spans="1:10" x14ac:dyDescent="0.25">
      <c r="A182" s="2" t="s">
        <v>10</v>
      </c>
      <c r="B182" s="2" t="str">
        <f>"9780071457842"</f>
        <v>9780071457842</v>
      </c>
      <c r="C182" s="2" t="s">
        <v>652</v>
      </c>
      <c r="D182" s="2" t="s">
        <v>653</v>
      </c>
      <c r="E182" s="2" t="s">
        <v>13</v>
      </c>
      <c r="F182" s="2">
        <v>2006</v>
      </c>
      <c r="G182" s="3">
        <v>40909</v>
      </c>
      <c r="H182" s="2" t="s">
        <v>654</v>
      </c>
      <c r="I182" s="2" t="s">
        <v>15</v>
      </c>
      <c r="J182" s="2" t="s">
        <v>655</v>
      </c>
    </row>
    <row r="183" spans="1:10" hidden="1" x14ac:dyDescent="0.25">
      <c r="A183" s="2" t="s">
        <v>10</v>
      </c>
      <c r="B183" s="2" t="str">
        <f>"9780071472937"</f>
        <v>9780071472937</v>
      </c>
      <c r="C183" s="2" t="s">
        <v>656</v>
      </c>
      <c r="D183" s="2" t="s">
        <v>657</v>
      </c>
      <c r="E183" s="2" t="s">
        <v>13</v>
      </c>
      <c r="F183" s="2">
        <v>2007</v>
      </c>
      <c r="G183" s="3">
        <v>40909</v>
      </c>
      <c r="I183" s="2" t="s">
        <v>44</v>
      </c>
      <c r="J183" s="2" t="s">
        <v>658</v>
      </c>
    </row>
    <row r="184" spans="1:10" x14ac:dyDescent="0.25">
      <c r="A184" s="2" t="s">
        <v>10</v>
      </c>
      <c r="B184" s="2" t="str">
        <f>"9780071460453"</f>
        <v>9780071460453</v>
      </c>
      <c r="C184" s="2" t="s">
        <v>659</v>
      </c>
      <c r="D184" s="2" t="s">
        <v>660</v>
      </c>
      <c r="E184" s="2" t="s">
        <v>13</v>
      </c>
      <c r="F184" s="2">
        <v>2006</v>
      </c>
      <c r="G184" s="3">
        <v>40909</v>
      </c>
      <c r="H184" s="2" t="s">
        <v>661</v>
      </c>
      <c r="I184" s="2" t="s">
        <v>15</v>
      </c>
      <c r="J184" s="2" t="s">
        <v>662</v>
      </c>
    </row>
    <row r="185" spans="1:10" x14ac:dyDescent="0.25">
      <c r="A185" s="2" t="s">
        <v>10</v>
      </c>
      <c r="B185" s="2" t="str">
        <f>"9780071470759"</f>
        <v>9780071470759</v>
      </c>
      <c r="C185" s="2" t="s">
        <v>663</v>
      </c>
      <c r="D185" s="2" t="s">
        <v>664</v>
      </c>
      <c r="E185" s="2" t="s">
        <v>13</v>
      </c>
      <c r="F185" s="2">
        <v>2007</v>
      </c>
      <c r="G185" s="3">
        <v>40909</v>
      </c>
      <c r="H185" s="2" t="s">
        <v>593</v>
      </c>
      <c r="I185" s="2" t="s">
        <v>15</v>
      </c>
      <c r="J185" s="2" t="s">
        <v>665</v>
      </c>
    </row>
    <row r="186" spans="1:10" x14ac:dyDescent="0.25">
      <c r="A186" s="2" t="s">
        <v>10</v>
      </c>
      <c r="B186" s="2" t="str">
        <f>"9780071445139"</f>
        <v>9780071445139</v>
      </c>
      <c r="C186" s="2" t="s">
        <v>666</v>
      </c>
      <c r="D186" s="2" t="s">
        <v>667</v>
      </c>
      <c r="E186" s="2" t="s">
        <v>13</v>
      </c>
      <c r="F186" s="2">
        <v>2006</v>
      </c>
      <c r="G186" s="3">
        <v>41967</v>
      </c>
      <c r="H186" s="2" t="s">
        <v>427</v>
      </c>
      <c r="I186" s="2" t="s">
        <v>15</v>
      </c>
      <c r="J186" s="2" t="s">
        <v>668</v>
      </c>
    </row>
    <row r="187" spans="1:10" x14ac:dyDescent="0.25">
      <c r="A187" s="2" t="s">
        <v>10</v>
      </c>
      <c r="B187" s="2" t="str">
        <f>"9780071459068"</f>
        <v>9780071459068</v>
      </c>
      <c r="C187" s="2" t="s">
        <v>669</v>
      </c>
      <c r="D187" s="2" t="s">
        <v>423</v>
      </c>
      <c r="E187" s="2" t="s">
        <v>13</v>
      </c>
      <c r="F187" s="2">
        <v>2008</v>
      </c>
      <c r="G187" s="3">
        <v>40909</v>
      </c>
      <c r="H187" s="2" t="s">
        <v>670</v>
      </c>
      <c r="I187" s="2" t="s">
        <v>15</v>
      </c>
      <c r="J187" s="2" t="s">
        <v>671</v>
      </c>
    </row>
    <row r="188" spans="1:10" x14ac:dyDescent="0.25">
      <c r="A188" s="2" t="s">
        <v>10</v>
      </c>
      <c r="B188" s="2" t="str">
        <f>"9780071448932"</f>
        <v>9780071448932</v>
      </c>
      <c r="C188" s="2" t="s">
        <v>672</v>
      </c>
      <c r="D188" s="2" t="s">
        <v>673</v>
      </c>
      <c r="E188" s="2" t="s">
        <v>13</v>
      </c>
      <c r="F188" s="2">
        <v>2006</v>
      </c>
      <c r="G188" s="3">
        <v>41622</v>
      </c>
      <c r="H188" s="2" t="s">
        <v>674</v>
      </c>
      <c r="I188" s="2" t="s">
        <v>15</v>
      </c>
      <c r="J188" s="2" t="s">
        <v>675</v>
      </c>
    </row>
    <row r="189" spans="1:10" x14ac:dyDescent="0.25">
      <c r="A189" s="2" t="s">
        <v>10</v>
      </c>
      <c r="B189" s="2" t="str">
        <f>"9780071459273"</f>
        <v>9780071459273</v>
      </c>
      <c r="C189" s="2" t="s">
        <v>676</v>
      </c>
      <c r="D189" s="2" t="s">
        <v>677</v>
      </c>
      <c r="E189" s="2" t="s">
        <v>13</v>
      </c>
      <c r="F189" s="2">
        <v>2007</v>
      </c>
      <c r="G189" s="3">
        <v>40909</v>
      </c>
      <c r="H189" s="2" t="s">
        <v>678</v>
      </c>
      <c r="I189" s="2" t="s">
        <v>15</v>
      </c>
      <c r="J189" s="2" t="s">
        <v>679</v>
      </c>
    </row>
    <row r="190" spans="1:10" x14ac:dyDescent="0.25">
      <c r="A190" s="2" t="s">
        <v>10</v>
      </c>
      <c r="B190" s="2" t="str">
        <f>"9780071464628"</f>
        <v>9780071464628</v>
      </c>
      <c r="C190" s="2" t="s">
        <v>680</v>
      </c>
      <c r="D190" s="2" t="s">
        <v>681</v>
      </c>
      <c r="E190" s="2" t="s">
        <v>13</v>
      </c>
      <c r="F190" s="2">
        <v>2009</v>
      </c>
      <c r="G190" s="3">
        <v>40909</v>
      </c>
      <c r="H190" s="2" t="s">
        <v>682</v>
      </c>
      <c r="I190" s="2" t="s">
        <v>15</v>
      </c>
      <c r="J190" s="2" t="s">
        <v>683</v>
      </c>
    </row>
    <row r="191" spans="1:10" hidden="1" x14ac:dyDescent="0.25">
      <c r="A191" s="2" t="s">
        <v>10</v>
      </c>
      <c r="B191" s="2" t="str">
        <f>"9780071445597"</f>
        <v>9780071445597</v>
      </c>
      <c r="C191" s="2" t="s">
        <v>684</v>
      </c>
      <c r="D191" s="2" t="s">
        <v>494</v>
      </c>
      <c r="E191" s="2" t="s">
        <v>13</v>
      </c>
      <c r="F191" s="2">
        <v>2005</v>
      </c>
      <c r="G191" s="3">
        <v>40909</v>
      </c>
      <c r="I191" s="2" t="s">
        <v>44</v>
      </c>
      <c r="J191" s="2" t="s">
        <v>685</v>
      </c>
    </row>
    <row r="192" spans="1:10" x14ac:dyDescent="0.25">
      <c r="A192" s="2" t="s">
        <v>10</v>
      </c>
      <c r="B192" s="2" t="str">
        <f>"9780071446419"</f>
        <v>9780071446419</v>
      </c>
      <c r="C192" s="2" t="s">
        <v>686</v>
      </c>
      <c r="D192" s="2" t="s">
        <v>687</v>
      </c>
      <c r="E192" s="2" t="s">
        <v>13</v>
      </c>
      <c r="F192" s="2">
        <v>2010</v>
      </c>
      <c r="G192" s="3">
        <v>42915</v>
      </c>
      <c r="H192" s="2" t="s">
        <v>688</v>
      </c>
      <c r="I192" s="2" t="s">
        <v>15</v>
      </c>
      <c r="J192" s="2" t="s">
        <v>689</v>
      </c>
    </row>
    <row r="193" spans="1:10" x14ac:dyDescent="0.25">
      <c r="A193" s="2" t="s">
        <v>10</v>
      </c>
      <c r="B193" s="2" t="str">
        <f>"9780071469821"</f>
        <v>9780071469821</v>
      </c>
      <c r="C193" s="2" t="s">
        <v>690</v>
      </c>
      <c r="D193" s="2" t="s">
        <v>691</v>
      </c>
      <c r="E193" s="2" t="s">
        <v>13</v>
      </c>
      <c r="F193" s="2">
        <v>2006</v>
      </c>
      <c r="G193" s="3">
        <v>41941</v>
      </c>
      <c r="H193" s="2" t="s">
        <v>692</v>
      </c>
      <c r="I193" s="2" t="s">
        <v>15</v>
      </c>
      <c r="J193" s="2" t="s">
        <v>693</v>
      </c>
    </row>
    <row r="194" spans="1:10" x14ac:dyDescent="0.25">
      <c r="A194" s="2" t="s">
        <v>10</v>
      </c>
      <c r="B194" s="2" t="str">
        <f>"9780071457873"</f>
        <v>9780071457873</v>
      </c>
      <c r="C194" s="2" t="s">
        <v>694</v>
      </c>
      <c r="D194" s="2" t="s">
        <v>361</v>
      </c>
      <c r="E194" s="2" t="s">
        <v>13</v>
      </c>
      <c r="F194" s="2">
        <v>2006</v>
      </c>
      <c r="G194" s="3">
        <v>40909</v>
      </c>
      <c r="H194" s="2" t="s">
        <v>32</v>
      </c>
      <c r="I194" s="2" t="s">
        <v>15</v>
      </c>
      <c r="J194" s="2" t="s">
        <v>695</v>
      </c>
    </row>
    <row r="195" spans="1:10" x14ac:dyDescent="0.25">
      <c r="A195" s="2" t="s">
        <v>10</v>
      </c>
      <c r="B195" s="2" t="str">
        <f>"9780071472425"</f>
        <v>9780071472425</v>
      </c>
      <c r="C195" s="2" t="s">
        <v>696</v>
      </c>
      <c r="D195" s="2" t="s">
        <v>697</v>
      </c>
      <c r="E195" s="2" t="s">
        <v>13</v>
      </c>
      <c r="F195" s="2">
        <v>2007</v>
      </c>
      <c r="G195" s="3">
        <v>40909</v>
      </c>
      <c r="H195" s="2" t="s">
        <v>639</v>
      </c>
      <c r="I195" s="2" t="s">
        <v>15</v>
      </c>
      <c r="J195" s="2" t="s">
        <v>698</v>
      </c>
    </row>
    <row r="196" spans="1:10" x14ac:dyDescent="0.25">
      <c r="A196" s="2" t="s">
        <v>10</v>
      </c>
      <c r="B196" s="2" t="str">
        <f>"9780071471718"</f>
        <v>9780071471718</v>
      </c>
      <c r="C196" s="2" t="s">
        <v>699</v>
      </c>
      <c r="D196" s="2" t="s">
        <v>700</v>
      </c>
      <c r="E196" s="2" t="s">
        <v>13</v>
      </c>
      <c r="F196" s="2">
        <v>2006</v>
      </c>
      <c r="G196" s="3">
        <v>40909</v>
      </c>
      <c r="H196" s="2" t="s">
        <v>52</v>
      </c>
      <c r="I196" s="2" t="s">
        <v>15</v>
      </c>
      <c r="J196" s="2" t="s">
        <v>701</v>
      </c>
    </row>
    <row r="197" spans="1:10" hidden="1" x14ac:dyDescent="0.25">
      <c r="A197" s="2" t="s">
        <v>10</v>
      </c>
      <c r="B197" s="2" t="str">
        <f>"9780071447683"</f>
        <v>9780071447683</v>
      </c>
      <c r="C197" s="2" t="s">
        <v>702</v>
      </c>
      <c r="D197" s="2" t="s">
        <v>703</v>
      </c>
      <c r="E197" s="2" t="s">
        <v>13</v>
      </c>
      <c r="F197" s="2">
        <v>2006</v>
      </c>
      <c r="G197" s="3">
        <v>40909</v>
      </c>
      <c r="I197" s="2" t="s">
        <v>44</v>
      </c>
      <c r="J197" s="2" t="s">
        <v>704</v>
      </c>
    </row>
    <row r="198" spans="1:10" hidden="1" x14ac:dyDescent="0.25">
      <c r="A198" s="2" t="s">
        <v>10</v>
      </c>
      <c r="B198" s="2" t="str">
        <f>"9780071472173"</f>
        <v>9780071472173</v>
      </c>
      <c r="C198" s="2" t="s">
        <v>705</v>
      </c>
      <c r="D198" s="2" t="s">
        <v>706</v>
      </c>
      <c r="E198" s="2" t="s">
        <v>13</v>
      </c>
      <c r="F198" s="2">
        <v>2007</v>
      </c>
      <c r="G198" s="3">
        <v>40909</v>
      </c>
      <c r="I198" s="2" t="s">
        <v>44</v>
      </c>
      <c r="J198" s="2" t="s">
        <v>707</v>
      </c>
    </row>
    <row r="199" spans="1:10" hidden="1" x14ac:dyDescent="0.25">
      <c r="A199" s="2" t="s">
        <v>10</v>
      </c>
      <c r="B199" s="2" t="str">
        <f>"9780071455398"</f>
        <v>9780071455398</v>
      </c>
      <c r="C199" s="2" t="s">
        <v>708</v>
      </c>
      <c r="D199" s="2" t="s">
        <v>709</v>
      </c>
      <c r="E199" s="2" t="s">
        <v>13</v>
      </c>
      <c r="F199" s="2">
        <v>2007</v>
      </c>
      <c r="G199" s="3">
        <v>40909</v>
      </c>
      <c r="I199" s="2" t="s">
        <v>44</v>
      </c>
      <c r="J199" s="2" t="s">
        <v>710</v>
      </c>
    </row>
    <row r="200" spans="1:10" x14ac:dyDescent="0.25">
      <c r="A200" s="2" t="s">
        <v>10</v>
      </c>
      <c r="B200" s="2" t="str">
        <f>"9780071462303"</f>
        <v>9780071462303</v>
      </c>
      <c r="C200" s="2" t="s">
        <v>711</v>
      </c>
      <c r="D200" s="2" t="s">
        <v>712</v>
      </c>
      <c r="E200" s="2" t="s">
        <v>13</v>
      </c>
      <c r="F200" s="2">
        <v>2007</v>
      </c>
      <c r="G200" s="3">
        <v>41793</v>
      </c>
      <c r="H200" s="2" t="s">
        <v>511</v>
      </c>
      <c r="I200" s="2" t="s">
        <v>15</v>
      </c>
      <c r="J200" s="2" t="s">
        <v>713</v>
      </c>
    </row>
    <row r="201" spans="1:10" x14ac:dyDescent="0.25">
      <c r="A201" s="2" t="s">
        <v>10</v>
      </c>
      <c r="B201" s="2" t="str">
        <f>"9780071462716"</f>
        <v>9780071462716</v>
      </c>
      <c r="C201" s="2" t="s">
        <v>714</v>
      </c>
      <c r="D201" s="2" t="s">
        <v>715</v>
      </c>
      <c r="E201" s="2" t="s">
        <v>13</v>
      </c>
      <c r="F201" s="2">
        <v>2006</v>
      </c>
      <c r="G201" s="3">
        <v>40909</v>
      </c>
      <c r="H201" s="2" t="s">
        <v>716</v>
      </c>
      <c r="I201" s="2" t="s">
        <v>15</v>
      </c>
      <c r="J201" s="2" t="s">
        <v>717</v>
      </c>
    </row>
    <row r="202" spans="1:10" x14ac:dyDescent="0.25">
      <c r="A202" s="2" t="s">
        <v>10</v>
      </c>
      <c r="B202" s="2" t="str">
        <f>"9780071472487"</f>
        <v>9780071472487</v>
      </c>
      <c r="C202" s="2" t="s">
        <v>718</v>
      </c>
      <c r="D202" s="2" t="s">
        <v>719</v>
      </c>
      <c r="E202" s="2" t="s">
        <v>13</v>
      </c>
      <c r="F202" s="2">
        <v>2008</v>
      </c>
      <c r="G202" s="3">
        <v>40909</v>
      </c>
      <c r="H202" s="2" t="s">
        <v>180</v>
      </c>
      <c r="I202" s="2" t="s">
        <v>15</v>
      </c>
      <c r="J202" s="2" t="s">
        <v>720</v>
      </c>
    </row>
    <row r="203" spans="1:10" x14ac:dyDescent="0.25">
      <c r="A203" s="2" t="s">
        <v>10</v>
      </c>
      <c r="B203" s="2" t="str">
        <f>"9780071454735"</f>
        <v>9780071454735</v>
      </c>
      <c r="C203" s="2" t="s">
        <v>721</v>
      </c>
      <c r="D203" s="2" t="s">
        <v>722</v>
      </c>
      <c r="E203" s="2" t="s">
        <v>13</v>
      </c>
      <c r="F203" s="2">
        <v>2005</v>
      </c>
      <c r="G203" s="3">
        <v>40909</v>
      </c>
      <c r="H203" s="2" t="s">
        <v>723</v>
      </c>
      <c r="I203" s="2" t="s">
        <v>15</v>
      </c>
      <c r="J203" s="2" t="s">
        <v>724</v>
      </c>
    </row>
    <row r="204" spans="1:10" x14ac:dyDescent="0.25">
      <c r="A204" s="2" t="s">
        <v>10</v>
      </c>
      <c r="B204" s="2" t="str">
        <f>"9780071467605"</f>
        <v>9780071467605</v>
      </c>
      <c r="C204" s="2" t="s">
        <v>725</v>
      </c>
      <c r="D204" s="2" t="s">
        <v>726</v>
      </c>
      <c r="E204" s="2" t="s">
        <v>13</v>
      </c>
      <c r="F204" s="2">
        <v>2007</v>
      </c>
      <c r="G204" s="3">
        <v>40909</v>
      </c>
      <c r="H204" s="2" t="s">
        <v>727</v>
      </c>
      <c r="I204" s="2" t="s">
        <v>15</v>
      </c>
      <c r="J204" s="2" t="s">
        <v>728</v>
      </c>
    </row>
    <row r="205" spans="1:10" x14ac:dyDescent="0.25">
      <c r="A205" s="2" t="s">
        <v>10</v>
      </c>
      <c r="B205" s="2" t="str">
        <f>"9780071472890"</f>
        <v>9780071472890</v>
      </c>
      <c r="C205" s="2" t="s">
        <v>729</v>
      </c>
      <c r="D205" s="2" t="s">
        <v>730</v>
      </c>
    </row>
    <row r="206" spans="1:10" hidden="1" x14ac:dyDescent="0.25">
      <c r="A206" s="2" t="s">
        <v>10</v>
      </c>
      <c r="B206" s="2" t="str">
        <f>"9780071451000"</f>
        <v>9780071451000</v>
      </c>
      <c r="C206" s="2" t="s">
        <v>731</v>
      </c>
      <c r="D206" s="2" t="s">
        <v>543</v>
      </c>
      <c r="E206" s="2" t="s">
        <v>13</v>
      </c>
      <c r="F206" s="2">
        <v>2005</v>
      </c>
      <c r="G206" s="3">
        <v>40909</v>
      </c>
      <c r="I206" s="2" t="s">
        <v>44</v>
      </c>
      <c r="J206" s="2" t="s">
        <v>732</v>
      </c>
    </row>
    <row r="207" spans="1:10" x14ac:dyDescent="0.25">
      <c r="A207" s="2" t="s">
        <v>10</v>
      </c>
      <c r="B207" s="2" t="str">
        <f>"9780071471602"</f>
        <v>9780071471602</v>
      </c>
      <c r="C207" s="2" t="s">
        <v>733</v>
      </c>
      <c r="D207" s="2" t="s">
        <v>660</v>
      </c>
      <c r="E207" s="2" t="s">
        <v>13</v>
      </c>
      <c r="F207" s="2">
        <v>2007</v>
      </c>
      <c r="G207" s="3">
        <v>40909</v>
      </c>
      <c r="H207" s="2" t="s">
        <v>734</v>
      </c>
      <c r="I207" s="2" t="s">
        <v>15</v>
      </c>
      <c r="J207" s="2" t="s">
        <v>735</v>
      </c>
    </row>
    <row r="208" spans="1:10" x14ac:dyDescent="0.25">
      <c r="A208" s="2" t="s">
        <v>10</v>
      </c>
      <c r="B208" s="2" t="str">
        <f>"9780071473590"</f>
        <v>9780071473590</v>
      </c>
      <c r="C208" s="2" t="s">
        <v>736</v>
      </c>
      <c r="D208" s="2" t="s">
        <v>691</v>
      </c>
      <c r="E208" s="2" t="s">
        <v>13</v>
      </c>
      <c r="F208" s="2">
        <v>2007</v>
      </c>
      <c r="G208" s="3">
        <v>41941</v>
      </c>
      <c r="H208" s="2" t="s">
        <v>692</v>
      </c>
      <c r="I208" s="2" t="s">
        <v>15</v>
      </c>
      <c r="J208" s="2" t="s">
        <v>737</v>
      </c>
    </row>
    <row r="209" spans="1:10" x14ac:dyDescent="0.25">
      <c r="A209" s="2" t="s">
        <v>10</v>
      </c>
      <c r="B209" s="2" t="str">
        <f>"9780071460446"</f>
        <v>9780071460446</v>
      </c>
      <c r="C209" s="2" t="s">
        <v>738</v>
      </c>
      <c r="D209" s="2" t="s">
        <v>739</v>
      </c>
      <c r="E209" s="2" t="s">
        <v>13</v>
      </c>
      <c r="F209" s="2">
        <v>2008</v>
      </c>
      <c r="G209" s="3">
        <v>41367</v>
      </c>
      <c r="H209" s="2" t="s">
        <v>740</v>
      </c>
      <c r="I209" s="2" t="s">
        <v>15</v>
      </c>
      <c r="J209" s="2" t="s">
        <v>741</v>
      </c>
    </row>
    <row r="210" spans="1:10" x14ac:dyDescent="0.25">
      <c r="A210" s="2" t="s">
        <v>10</v>
      </c>
      <c r="B210" s="2" t="str">
        <f>"9780071454087"</f>
        <v>9780071454087</v>
      </c>
      <c r="C210" s="2" t="s">
        <v>742</v>
      </c>
      <c r="D210" s="2" t="s">
        <v>743</v>
      </c>
      <c r="E210" s="2" t="s">
        <v>13</v>
      </c>
      <c r="F210" s="2">
        <v>2007</v>
      </c>
      <c r="G210" s="3">
        <v>42273</v>
      </c>
      <c r="H210" s="2" t="s">
        <v>744</v>
      </c>
      <c r="I210" s="2" t="s">
        <v>15</v>
      </c>
      <c r="J210" s="2" t="s">
        <v>745</v>
      </c>
    </row>
    <row r="211" spans="1:10" x14ac:dyDescent="0.25">
      <c r="A211" s="2" t="s">
        <v>10</v>
      </c>
      <c r="B211" s="2" t="str">
        <f>"9780071443296"</f>
        <v>9780071443296</v>
      </c>
      <c r="C211" s="2" t="s">
        <v>746</v>
      </c>
      <c r="D211" s="2" t="s">
        <v>747</v>
      </c>
      <c r="E211" s="2" t="s">
        <v>13</v>
      </c>
      <c r="F211" s="2">
        <v>2005</v>
      </c>
      <c r="G211" s="3">
        <v>40909</v>
      </c>
      <c r="H211" s="2" t="s">
        <v>536</v>
      </c>
      <c r="I211" s="2" t="s">
        <v>15</v>
      </c>
      <c r="J211" s="2" t="s">
        <v>748</v>
      </c>
    </row>
    <row r="212" spans="1:10" hidden="1" x14ac:dyDescent="0.25">
      <c r="A212" s="2" t="s">
        <v>10</v>
      </c>
      <c r="B212" s="2" t="str">
        <f>"9780071458214"</f>
        <v>9780071458214</v>
      </c>
      <c r="C212" s="2" t="s">
        <v>749</v>
      </c>
      <c r="D212" s="2" t="s">
        <v>750</v>
      </c>
      <c r="E212" s="2" t="s">
        <v>13</v>
      </c>
      <c r="F212" s="2">
        <v>2006</v>
      </c>
      <c r="G212" s="3">
        <v>40909</v>
      </c>
      <c r="I212" s="2" t="s">
        <v>44</v>
      </c>
      <c r="J212" s="2" t="s">
        <v>751</v>
      </c>
    </row>
    <row r="213" spans="1:10" x14ac:dyDescent="0.25">
      <c r="A213" s="2" t="s">
        <v>10</v>
      </c>
      <c r="B213" s="2" t="str">
        <f>"9780071458863"</f>
        <v>9780071458863</v>
      </c>
      <c r="C213" s="2" t="s">
        <v>752</v>
      </c>
      <c r="D213" s="2" t="s">
        <v>657</v>
      </c>
      <c r="E213" s="2" t="s">
        <v>13</v>
      </c>
      <c r="F213" s="2">
        <v>2006</v>
      </c>
      <c r="G213" s="3">
        <v>40909</v>
      </c>
      <c r="H213" s="2" t="s">
        <v>753</v>
      </c>
      <c r="I213" s="2" t="s">
        <v>15</v>
      </c>
      <c r="J213" s="2" t="s">
        <v>754</v>
      </c>
    </row>
    <row r="214" spans="1:10" x14ac:dyDescent="0.25">
      <c r="A214" s="2" t="s">
        <v>10</v>
      </c>
      <c r="B214" s="2" t="str">
        <f>"9780071457927"</f>
        <v>9780071457927</v>
      </c>
      <c r="C214" s="2" t="s">
        <v>755</v>
      </c>
      <c r="D214" s="2" t="s">
        <v>756</v>
      </c>
      <c r="E214" s="2" t="s">
        <v>13</v>
      </c>
      <c r="F214" s="2">
        <v>2006</v>
      </c>
      <c r="G214" s="3">
        <v>40909</v>
      </c>
      <c r="H214" s="2" t="s">
        <v>757</v>
      </c>
      <c r="I214" s="2" t="s">
        <v>15</v>
      </c>
      <c r="J214" s="2" t="s">
        <v>758</v>
      </c>
    </row>
    <row r="215" spans="1:10" hidden="1" x14ac:dyDescent="0.25">
      <c r="A215" s="2" t="s">
        <v>10</v>
      </c>
      <c r="B215" s="2" t="str">
        <f>"9780071468794"</f>
        <v>9780071468794</v>
      </c>
      <c r="C215" s="2" t="s">
        <v>759</v>
      </c>
      <c r="D215" s="2" t="s">
        <v>760</v>
      </c>
      <c r="E215" s="2" t="s">
        <v>13</v>
      </c>
      <c r="F215" s="2">
        <v>2006</v>
      </c>
      <c r="G215" s="3">
        <v>40909</v>
      </c>
      <c r="I215" s="2" t="s">
        <v>44</v>
      </c>
      <c r="J215" s="2" t="s">
        <v>761</v>
      </c>
    </row>
    <row r="216" spans="1:10" hidden="1" x14ac:dyDescent="0.25">
      <c r="A216" s="2" t="s">
        <v>10</v>
      </c>
      <c r="B216" s="2" t="str">
        <f>"9780071464178"</f>
        <v>9780071464178</v>
      </c>
      <c r="C216" s="2" t="s">
        <v>762</v>
      </c>
      <c r="D216" s="2" t="s">
        <v>763</v>
      </c>
      <c r="E216" s="2" t="s">
        <v>13</v>
      </c>
      <c r="F216" s="2">
        <v>2007</v>
      </c>
      <c r="G216" s="3">
        <v>40909</v>
      </c>
      <c r="I216" s="2" t="s">
        <v>44</v>
      </c>
      <c r="J216" s="2" t="s">
        <v>764</v>
      </c>
    </row>
    <row r="217" spans="1:10" x14ac:dyDescent="0.25">
      <c r="A217" s="2" t="s">
        <v>10</v>
      </c>
      <c r="B217" s="2" t="str">
        <f>"9780071443227"</f>
        <v>9780071443227</v>
      </c>
      <c r="C217" s="2" t="s">
        <v>765</v>
      </c>
      <c r="D217" s="2" t="s">
        <v>766</v>
      </c>
      <c r="E217" s="2" t="s">
        <v>13</v>
      </c>
      <c r="F217" s="2">
        <v>2006</v>
      </c>
      <c r="G217" s="3">
        <v>40909</v>
      </c>
      <c r="H217" s="2" t="s">
        <v>441</v>
      </c>
      <c r="I217" s="2" t="s">
        <v>15</v>
      </c>
      <c r="J217" s="2" t="s">
        <v>767</v>
      </c>
    </row>
    <row r="218" spans="1:10" x14ac:dyDescent="0.25">
      <c r="A218" s="2" t="s">
        <v>10</v>
      </c>
      <c r="B218" s="2" t="str">
        <f>"9780071466363"</f>
        <v>9780071466363</v>
      </c>
      <c r="C218" s="2" t="s">
        <v>768</v>
      </c>
      <c r="D218" s="2" t="s">
        <v>769</v>
      </c>
      <c r="E218" s="2" t="s">
        <v>13</v>
      </c>
      <c r="F218" s="2">
        <v>2006</v>
      </c>
      <c r="G218" s="3">
        <v>40909</v>
      </c>
      <c r="H218" s="2" t="s">
        <v>770</v>
      </c>
      <c r="I218" s="2" t="s">
        <v>15</v>
      </c>
      <c r="J218" s="2" t="s">
        <v>771</v>
      </c>
    </row>
    <row r="219" spans="1:10" hidden="1" x14ac:dyDescent="0.25">
      <c r="A219" s="2" t="s">
        <v>10</v>
      </c>
      <c r="B219" s="2" t="str">
        <f>"9780071467346"</f>
        <v>9780071467346</v>
      </c>
      <c r="C219" s="2" t="s">
        <v>772</v>
      </c>
      <c r="D219" s="2" t="s">
        <v>47</v>
      </c>
      <c r="E219" s="2" t="s">
        <v>13</v>
      </c>
      <c r="F219" s="2">
        <v>2008</v>
      </c>
      <c r="G219" s="3">
        <v>41222</v>
      </c>
      <c r="I219" s="2" t="s">
        <v>44</v>
      </c>
      <c r="J219" s="2" t="s">
        <v>773</v>
      </c>
    </row>
    <row r="220" spans="1:10" x14ac:dyDescent="0.25">
      <c r="A220" s="2" t="s">
        <v>10</v>
      </c>
      <c r="B220" s="2" t="str">
        <f>"9780071489935"</f>
        <v>9780071489935</v>
      </c>
      <c r="C220" s="2" t="s">
        <v>774</v>
      </c>
      <c r="D220" s="2" t="s">
        <v>775</v>
      </c>
      <c r="E220" s="2" t="s">
        <v>13</v>
      </c>
      <c r="F220" s="2">
        <v>2008</v>
      </c>
      <c r="G220" s="3">
        <v>40909</v>
      </c>
      <c r="H220" s="2" t="s">
        <v>776</v>
      </c>
      <c r="I220" s="2" t="s">
        <v>15</v>
      </c>
      <c r="J220" s="2" t="s">
        <v>777</v>
      </c>
    </row>
    <row r="221" spans="1:10" x14ac:dyDescent="0.25">
      <c r="A221" s="2" t="s">
        <v>10</v>
      </c>
      <c r="B221" s="2" t="str">
        <f>"9780071489737"</f>
        <v>9780071489737</v>
      </c>
      <c r="C221" s="2" t="s">
        <v>778</v>
      </c>
      <c r="D221" s="2" t="s">
        <v>779</v>
      </c>
      <c r="E221" s="2" t="s">
        <v>13</v>
      </c>
      <c r="F221" s="2">
        <v>2008</v>
      </c>
      <c r="G221" s="3">
        <v>40909</v>
      </c>
      <c r="H221" s="2" t="s">
        <v>780</v>
      </c>
      <c r="I221" s="2" t="s">
        <v>15</v>
      </c>
      <c r="J221" s="2" t="s">
        <v>781</v>
      </c>
    </row>
    <row r="222" spans="1:10" x14ac:dyDescent="0.25">
      <c r="A222" s="2" t="s">
        <v>10</v>
      </c>
      <c r="B222" s="2" t="str">
        <f>"9780071482806"</f>
        <v>9780071482806</v>
      </c>
      <c r="C222" s="2" t="s">
        <v>782</v>
      </c>
      <c r="D222" s="2" t="s">
        <v>783</v>
      </c>
      <c r="E222" s="2" t="s">
        <v>13</v>
      </c>
      <c r="F222" s="2">
        <v>2007</v>
      </c>
      <c r="G222" s="3">
        <v>40909</v>
      </c>
      <c r="H222" s="2" t="s">
        <v>784</v>
      </c>
      <c r="I222" s="2" t="s">
        <v>15</v>
      </c>
      <c r="J222" s="2" t="s">
        <v>785</v>
      </c>
    </row>
    <row r="223" spans="1:10" x14ac:dyDescent="0.25">
      <c r="A223" s="2" t="s">
        <v>10</v>
      </c>
      <c r="B223" s="2" t="str">
        <f>"9780071476232"</f>
        <v>9780071476232</v>
      </c>
      <c r="C223" s="2" t="s">
        <v>786</v>
      </c>
      <c r="D223" s="2" t="s">
        <v>787</v>
      </c>
      <c r="E223" s="2" t="s">
        <v>13</v>
      </c>
      <c r="F223" s="2">
        <v>2010</v>
      </c>
      <c r="G223" s="3">
        <v>40909</v>
      </c>
      <c r="H223" s="2" t="s">
        <v>338</v>
      </c>
      <c r="I223" s="2" t="s">
        <v>15</v>
      </c>
      <c r="J223" s="2" t="s">
        <v>788</v>
      </c>
    </row>
    <row r="224" spans="1:10" x14ac:dyDescent="0.25">
      <c r="A224" s="2" t="s">
        <v>10</v>
      </c>
      <c r="B224" s="2" t="str">
        <f>"9780071498388"</f>
        <v>9780071498388</v>
      </c>
      <c r="C224" s="2" t="s">
        <v>789</v>
      </c>
      <c r="D224" s="2" t="s">
        <v>327</v>
      </c>
      <c r="E224" s="2" t="s">
        <v>13</v>
      </c>
      <c r="F224" s="2">
        <v>2009</v>
      </c>
      <c r="G224" s="3">
        <v>40910</v>
      </c>
      <c r="H224" s="2" t="s">
        <v>790</v>
      </c>
      <c r="I224" s="2" t="s">
        <v>15</v>
      </c>
      <c r="J224" s="2" t="s">
        <v>791</v>
      </c>
    </row>
    <row r="225" spans="1:10" x14ac:dyDescent="0.25">
      <c r="A225" s="2" t="s">
        <v>10</v>
      </c>
      <c r="B225" s="2" t="str">
        <f>"9780071475556"</f>
        <v>9780071475556</v>
      </c>
      <c r="C225" s="2" t="s">
        <v>792</v>
      </c>
      <c r="D225" s="2" t="s">
        <v>793</v>
      </c>
      <c r="E225" s="2" t="s">
        <v>13</v>
      </c>
      <c r="F225" s="2">
        <v>2010</v>
      </c>
      <c r="G225" s="3">
        <v>42551</v>
      </c>
      <c r="H225" s="2" t="s">
        <v>794</v>
      </c>
      <c r="I225" s="2" t="s">
        <v>15</v>
      </c>
      <c r="J225" s="2" t="s">
        <v>795</v>
      </c>
    </row>
    <row r="226" spans="1:10" x14ac:dyDescent="0.25">
      <c r="A226" s="2" t="s">
        <v>10</v>
      </c>
      <c r="B226" s="2" t="str">
        <f>"9780071497329"</f>
        <v>9780071497329</v>
      </c>
      <c r="C226" s="2" t="s">
        <v>796</v>
      </c>
      <c r="D226" s="2" t="s">
        <v>743</v>
      </c>
      <c r="E226" s="2" t="s">
        <v>13</v>
      </c>
      <c r="F226" s="2">
        <v>2014</v>
      </c>
      <c r="G226" s="3">
        <v>42305</v>
      </c>
      <c r="H226" s="2" t="s">
        <v>569</v>
      </c>
      <c r="I226" s="2" t="s">
        <v>15</v>
      </c>
      <c r="J226" s="2" t="s">
        <v>797</v>
      </c>
    </row>
    <row r="227" spans="1:10" x14ac:dyDescent="0.25">
      <c r="A227" s="2" t="s">
        <v>10</v>
      </c>
      <c r="B227" s="2" t="str">
        <f>"9780071489706"</f>
        <v>9780071489706</v>
      </c>
      <c r="C227" s="2" t="s">
        <v>798</v>
      </c>
      <c r="D227" s="2" t="s">
        <v>799</v>
      </c>
      <c r="E227" s="2" t="s">
        <v>13</v>
      </c>
      <c r="F227" s="2">
        <v>2008</v>
      </c>
      <c r="G227" s="3">
        <v>41766</v>
      </c>
      <c r="H227" s="2" t="s">
        <v>800</v>
      </c>
      <c r="I227" s="2" t="s">
        <v>15</v>
      </c>
      <c r="J227" s="2" t="s">
        <v>801</v>
      </c>
    </row>
    <row r="228" spans="1:10" x14ac:dyDescent="0.25">
      <c r="A228" s="2" t="s">
        <v>10</v>
      </c>
      <c r="B228" s="2" t="str">
        <f>"9780071485630"</f>
        <v>9780071485630</v>
      </c>
      <c r="C228" s="2" t="s">
        <v>802</v>
      </c>
      <c r="D228" s="2" t="s">
        <v>803</v>
      </c>
      <c r="E228" s="2" t="s">
        <v>13</v>
      </c>
      <c r="F228" s="2">
        <v>2008</v>
      </c>
      <c r="G228" s="3">
        <v>40909</v>
      </c>
      <c r="H228" s="2" t="s">
        <v>692</v>
      </c>
      <c r="I228" s="2" t="s">
        <v>15</v>
      </c>
      <c r="J228" s="2" t="s">
        <v>804</v>
      </c>
    </row>
    <row r="229" spans="1:10" x14ac:dyDescent="0.25">
      <c r="A229" s="2" t="s">
        <v>10</v>
      </c>
      <c r="B229" s="2" t="str">
        <f>"9780071476874"</f>
        <v>9780071476874</v>
      </c>
      <c r="C229" s="2" t="s">
        <v>805</v>
      </c>
      <c r="D229" s="2" t="s">
        <v>179</v>
      </c>
      <c r="E229" s="2" t="s">
        <v>13</v>
      </c>
      <c r="F229" s="2">
        <v>2008</v>
      </c>
      <c r="G229" s="3">
        <v>40909</v>
      </c>
      <c r="H229" s="2" t="s">
        <v>180</v>
      </c>
      <c r="I229" s="2" t="s">
        <v>15</v>
      </c>
      <c r="J229" s="2" t="s">
        <v>806</v>
      </c>
    </row>
    <row r="230" spans="1:10" x14ac:dyDescent="0.25">
      <c r="A230" s="2" t="s">
        <v>10</v>
      </c>
      <c r="B230" s="2" t="str">
        <f>"9780071493758"</f>
        <v>9780071493758</v>
      </c>
      <c r="C230" s="2" t="s">
        <v>807</v>
      </c>
      <c r="D230" s="2" t="s">
        <v>808</v>
      </c>
      <c r="E230" s="2" t="s">
        <v>13</v>
      </c>
      <c r="F230" s="2">
        <v>2007</v>
      </c>
      <c r="G230" s="3">
        <v>40909</v>
      </c>
      <c r="H230" s="2" t="s">
        <v>52</v>
      </c>
      <c r="I230" s="2" t="s">
        <v>15</v>
      </c>
      <c r="J230" s="2" t="s">
        <v>809</v>
      </c>
    </row>
    <row r="231" spans="1:10" x14ac:dyDescent="0.25">
      <c r="A231" s="2" t="s">
        <v>10</v>
      </c>
      <c r="B231" s="2" t="str">
        <f>"9780071498395"</f>
        <v>9780071498395</v>
      </c>
      <c r="C231" s="2" t="s">
        <v>810</v>
      </c>
      <c r="D231" s="2" t="s">
        <v>327</v>
      </c>
      <c r="E231" s="2" t="s">
        <v>13</v>
      </c>
      <c r="F231" s="2">
        <v>2009</v>
      </c>
      <c r="G231" s="3">
        <v>40909</v>
      </c>
      <c r="H231" s="2" t="s">
        <v>811</v>
      </c>
      <c r="I231" s="2" t="s">
        <v>15</v>
      </c>
      <c r="J231" s="2" t="s">
        <v>812</v>
      </c>
    </row>
    <row r="232" spans="1:10" x14ac:dyDescent="0.25">
      <c r="A232" s="2" t="s">
        <v>10</v>
      </c>
      <c r="B232" s="2" t="str">
        <f>"9780071476898"</f>
        <v>9780071476898</v>
      </c>
      <c r="C232" s="2" t="s">
        <v>813</v>
      </c>
      <c r="D232" s="2" t="s">
        <v>814</v>
      </c>
      <c r="E232" s="2" t="s">
        <v>13</v>
      </c>
      <c r="F232" s="2">
        <v>2008</v>
      </c>
      <c r="G232" s="3">
        <v>40909</v>
      </c>
      <c r="H232" s="2" t="s">
        <v>540</v>
      </c>
      <c r="I232" s="2" t="s">
        <v>15</v>
      </c>
      <c r="J232" s="2" t="s">
        <v>815</v>
      </c>
    </row>
    <row r="233" spans="1:10" hidden="1" x14ac:dyDescent="0.25">
      <c r="A233" s="2" t="s">
        <v>10</v>
      </c>
      <c r="B233" s="2" t="str">
        <f>"9780071477505"</f>
        <v>9780071477505</v>
      </c>
      <c r="C233" s="2" t="s">
        <v>816</v>
      </c>
      <c r="D233" s="2" t="s">
        <v>817</v>
      </c>
      <c r="E233" s="2" t="s">
        <v>13</v>
      </c>
      <c r="F233" s="2">
        <v>2007</v>
      </c>
      <c r="G233" s="3">
        <v>40909</v>
      </c>
      <c r="I233" s="2" t="s">
        <v>44</v>
      </c>
      <c r="J233" s="2" t="s">
        <v>818</v>
      </c>
    </row>
    <row r="234" spans="1:10" hidden="1" x14ac:dyDescent="0.25">
      <c r="A234" s="2" t="s">
        <v>10</v>
      </c>
      <c r="B234" s="2" t="str">
        <f>"9780071479165"</f>
        <v>9780071479165</v>
      </c>
      <c r="C234" s="2" t="s">
        <v>819</v>
      </c>
      <c r="D234" s="2" t="s">
        <v>820</v>
      </c>
      <c r="E234" s="2" t="s">
        <v>13</v>
      </c>
      <c r="F234" s="2">
        <v>2007</v>
      </c>
      <c r="G234" s="3">
        <v>40909</v>
      </c>
      <c r="H234" s="2" t="s">
        <v>76</v>
      </c>
      <c r="I234" s="2" t="s">
        <v>44</v>
      </c>
      <c r="J234" s="2" t="s">
        <v>821</v>
      </c>
    </row>
    <row r="235" spans="1:10" x14ac:dyDescent="0.25">
      <c r="A235" s="2" t="s">
        <v>10</v>
      </c>
      <c r="B235" s="2" t="str">
        <f>"9780071498845"</f>
        <v>9780071498845</v>
      </c>
      <c r="C235" s="2" t="s">
        <v>822</v>
      </c>
      <c r="D235" s="2" t="s">
        <v>823</v>
      </c>
      <c r="E235" s="2" t="s">
        <v>13</v>
      </c>
      <c r="F235" s="2">
        <v>2010</v>
      </c>
      <c r="G235" s="3">
        <v>40909</v>
      </c>
      <c r="H235" s="2" t="s">
        <v>23</v>
      </c>
      <c r="I235" s="2" t="s">
        <v>15</v>
      </c>
      <c r="J235" s="2" t="s">
        <v>824</v>
      </c>
    </row>
    <row r="236" spans="1:10" hidden="1" x14ac:dyDescent="0.25">
      <c r="A236" s="2" t="s">
        <v>10</v>
      </c>
      <c r="B236" s="2" t="str">
        <f>"9780071475747"</f>
        <v>9780071475747</v>
      </c>
      <c r="C236" s="2" t="s">
        <v>825</v>
      </c>
      <c r="D236" s="2" t="s">
        <v>826</v>
      </c>
      <c r="E236" s="2" t="s">
        <v>13</v>
      </c>
      <c r="F236" s="2">
        <v>2007</v>
      </c>
      <c r="G236" s="3">
        <v>40909</v>
      </c>
      <c r="I236" s="2" t="s">
        <v>44</v>
      </c>
      <c r="J236" s="2" t="s">
        <v>827</v>
      </c>
    </row>
    <row r="237" spans="1:10" x14ac:dyDescent="0.25">
      <c r="A237" s="2" t="s">
        <v>10</v>
      </c>
      <c r="B237" s="2" t="str">
        <f>"9780071498548"</f>
        <v>9780071498548</v>
      </c>
      <c r="C237" s="2" t="s">
        <v>828</v>
      </c>
      <c r="D237" s="2" t="s">
        <v>829</v>
      </c>
      <c r="E237" s="2" t="s">
        <v>13</v>
      </c>
      <c r="F237" s="2">
        <v>2011</v>
      </c>
      <c r="G237" s="3">
        <v>40909</v>
      </c>
      <c r="H237" s="2" t="s">
        <v>830</v>
      </c>
      <c r="I237" s="2" t="s">
        <v>15</v>
      </c>
      <c r="J237" s="2" t="s">
        <v>831</v>
      </c>
    </row>
    <row r="238" spans="1:10" x14ac:dyDescent="0.25">
      <c r="A238" s="2" t="s">
        <v>10</v>
      </c>
      <c r="B238" s="2" t="str">
        <f>"9780071486514"</f>
        <v>9780071486514</v>
      </c>
      <c r="C238" s="2" t="s">
        <v>832</v>
      </c>
      <c r="D238" s="2" t="s">
        <v>833</v>
      </c>
      <c r="E238" s="2" t="s">
        <v>13</v>
      </c>
      <c r="F238" s="2">
        <v>2007</v>
      </c>
      <c r="G238" s="3">
        <v>40909</v>
      </c>
      <c r="H238" s="2" t="s">
        <v>834</v>
      </c>
      <c r="I238" s="2" t="s">
        <v>15</v>
      </c>
      <c r="J238" s="2" t="s">
        <v>835</v>
      </c>
    </row>
    <row r="239" spans="1:10" x14ac:dyDescent="0.25">
      <c r="A239" s="2" t="s">
        <v>10</v>
      </c>
      <c r="B239" s="2" t="str">
        <f>"9780071498920"</f>
        <v>9780071498920</v>
      </c>
      <c r="C239" s="2" t="s">
        <v>836</v>
      </c>
      <c r="D239" s="2" t="s">
        <v>837</v>
      </c>
      <c r="E239" s="2" t="s">
        <v>13</v>
      </c>
      <c r="F239" s="2">
        <v>2010</v>
      </c>
      <c r="G239" s="3">
        <v>41239</v>
      </c>
      <c r="H239" s="2" t="s">
        <v>838</v>
      </c>
      <c r="I239" s="2" t="s">
        <v>15</v>
      </c>
      <c r="J239" s="2" t="s">
        <v>839</v>
      </c>
    </row>
    <row r="240" spans="1:10" x14ac:dyDescent="0.25">
      <c r="A240" s="2" t="s">
        <v>10</v>
      </c>
      <c r="B240" s="2" t="str">
        <f>"9780071475839"</f>
        <v>9780071475839</v>
      </c>
      <c r="C240" s="2" t="s">
        <v>840</v>
      </c>
      <c r="D240" s="2" t="s">
        <v>841</v>
      </c>
      <c r="E240" s="2" t="s">
        <v>13</v>
      </c>
      <c r="F240" s="2">
        <v>2007</v>
      </c>
      <c r="G240" s="3">
        <v>40909</v>
      </c>
      <c r="H240" s="2" t="s">
        <v>56</v>
      </c>
      <c r="I240" s="2" t="s">
        <v>15</v>
      </c>
      <c r="J240" s="2" t="s">
        <v>842</v>
      </c>
    </row>
    <row r="241" spans="1:10" x14ac:dyDescent="0.25">
      <c r="A241" s="2" t="s">
        <v>10</v>
      </c>
      <c r="B241" s="2" t="str">
        <f>"9780071482431"</f>
        <v>9780071482431</v>
      </c>
      <c r="C241" s="2" t="s">
        <v>843</v>
      </c>
      <c r="D241" s="2" t="s">
        <v>844</v>
      </c>
      <c r="E241" s="2" t="s">
        <v>13</v>
      </c>
      <c r="F241" s="2">
        <v>2008</v>
      </c>
      <c r="G241" s="3">
        <v>40909</v>
      </c>
      <c r="H241" s="2" t="s">
        <v>845</v>
      </c>
      <c r="I241" s="2" t="s">
        <v>15</v>
      </c>
      <c r="J241" s="2" t="s">
        <v>846</v>
      </c>
    </row>
    <row r="242" spans="1:10" x14ac:dyDescent="0.25">
      <c r="A242" s="2" t="s">
        <v>10</v>
      </c>
      <c r="B242" s="2" t="str">
        <f>"9780071492737"</f>
        <v>9780071492737</v>
      </c>
      <c r="C242" s="2" t="s">
        <v>847</v>
      </c>
      <c r="D242" s="2" t="s">
        <v>848</v>
      </c>
      <c r="E242" s="2" t="s">
        <v>13</v>
      </c>
      <c r="F242" s="2">
        <v>2009</v>
      </c>
      <c r="G242" s="3">
        <v>40909</v>
      </c>
      <c r="H242" s="2" t="s">
        <v>849</v>
      </c>
      <c r="I242" s="2" t="s">
        <v>15</v>
      </c>
      <c r="J242" s="2" t="s">
        <v>850</v>
      </c>
    </row>
    <row r="243" spans="1:10" x14ac:dyDescent="0.25">
      <c r="A243" s="2" t="s">
        <v>10</v>
      </c>
      <c r="B243" s="2" t="str">
        <f>"9780071477529"</f>
        <v>9780071477529</v>
      </c>
      <c r="C243" s="2" t="s">
        <v>851</v>
      </c>
      <c r="D243" s="2" t="s">
        <v>852</v>
      </c>
      <c r="E243" s="2" t="s">
        <v>13</v>
      </c>
      <c r="F243" s="2">
        <v>2007</v>
      </c>
      <c r="G243" s="3">
        <v>40909</v>
      </c>
      <c r="H243" s="2" t="s">
        <v>853</v>
      </c>
      <c r="I243" s="2" t="s">
        <v>15</v>
      </c>
      <c r="J243" s="2" t="s">
        <v>854</v>
      </c>
    </row>
    <row r="244" spans="1:10" x14ac:dyDescent="0.25">
      <c r="A244" s="2" t="s">
        <v>10</v>
      </c>
      <c r="B244" s="2" t="str">
        <f>"9780071482721"</f>
        <v>9780071482721</v>
      </c>
      <c r="C244" s="2" t="s">
        <v>855</v>
      </c>
      <c r="D244" s="2" t="s">
        <v>856</v>
      </c>
      <c r="E244" s="2" t="s">
        <v>13</v>
      </c>
      <c r="F244" s="2">
        <v>2009</v>
      </c>
      <c r="G244" s="3">
        <v>40909</v>
      </c>
      <c r="H244" s="2" t="s">
        <v>857</v>
      </c>
      <c r="I244" s="2" t="s">
        <v>15</v>
      </c>
      <c r="J244" s="2" t="s">
        <v>858</v>
      </c>
    </row>
    <row r="245" spans="1:10" x14ac:dyDescent="0.25">
      <c r="A245" s="2" t="s">
        <v>10</v>
      </c>
      <c r="B245" s="2" t="str">
        <f>"9780071485470"</f>
        <v>9780071485470</v>
      </c>
      <c r="C245" s="2" t="s">
        <v>859</v>
      </c>
      <c r="D245" s="2" t="s">
        <v>860</v>
      </c>
      <c r="E245" s="2" t="s">
        <v>13</v>
      </c>
      <c r="F245" s="2">
        <v>2008</v>
      </c>
      <c r="G245" s="3">
        <v>40909</v>
      </c>
      <c r="H245" s="2" t="s">
        <v>95</v>
      </c>
      <c r="I245" s="2" t="s">
        <v>15</v>
      </c>
      <c r="J245" s="2" t="s">
        <v>861</v>
      </c>
    </row>
    <row r="246" spans="1:10" x14ac:dyDescent="0.25">
      <c r="A246" s="2" t="s">
        <v>10</v>
      </c>
      <c r="B246" s="2" t="str">
        <f>"9780071494533"</f>
        <v>9780071494533</v>
      </c>
      <c r="C246" s="2" t="s">
        <v>862</v>
      </c>
      <c r="D246" s="2" t="s">
        <v>863</v>
      </c>
      <c r="E246" s="2" t="s">
        <v>13</v>
      </c>
      <c r="F246" s="2">
        <v>2008</v>
      </c>
      <c r="G246" s="3">
        <v>40909</v>
      </c>
      <c r="H246" s="2" t="s">
        <v>864</v>
      </c>
      <c r="I246" s="2" t="s">
        <v>15</v>
      </c>
      <c r="J246" s="2" t="s">
        <v>865</v>
      </c>
    </row>
    <row r="247" spans="1:10" x14ac:dyDescent="0.25">
      <c r="A247" s="2" t="s">
        <v>10</v>
      </c>
      <c r="B247" s="2" t="str">
        <f>"9780071489287"</f>
        <v>9780071489287</v>
      </c>
      <c r="C247" s="2" t="s">
        <v>866</v>
      </c>
      <c r="D247" s="2" t="s">
        <v>867</v>
      </c>
      <c r="E247" s="2" t="s">
        <v>13</v>
      </c>
      <c r="F247" s="2">
        <v>2010</v>
      </c>
      <c r="G247" s="3">
        <v>40909</v>
      </c>
      <c r="H247" s="2" t="s">
        <v>540</v>
      </c>
      <c r="I247" s="2" t="s">
        <v>15</v>
      </c>
      <c r="J247" s="2" t="s">
        <v>868</v>
      </c>
    </row>
    <row r="248" spans="1:10" hidden="1" x14ac:dyDescent="0.25">
      <c r="A248" s="2" t="s">
        <v>10</v>
      </c>
      <c r="B248" s="2" t="str">
        <f>"9780071487818"</f>
        <v>9780071487818</v>
      </c>
      <c r="C248" s="2" t="s">
        <v>869</v>
      </c>
      <c r="D248" s="2" t="s">
        <v>870</v>
      </c>
      <c r="E248" s="2" t="s">
        <v>13</v>
      </c>
      <c r="F248" s="2">
        <v>2008</v>
      </c>
      <c r="G248" s="3">
        <v>42488</v>
      </c>
      <c r="H248" s="2" t="s">
        <v>115</v>
      </c>
      <c r="I248" s="2" t="s">
        <v>44</v>
      </c>
      <c r="J248" s="2" t="s">
        <v>871</v>
      </c>
    </row>
    <row r="249" spans="1:10" x14ac:dyDescent="0.25">
      <c r="A249" s="2" t="s">
        <v>10</v>
      </c>
      <c r="B249" s="2" t="str">
        <f>"9780071475228"</f>
        <v>9780071475228</v>
      </c>
      <c r="C249" s="2" t="s">
        <v>872</v>
      </c>
      <c r="D249" s="2" t="s">
        <v>873</v>
      </c>
      <c r="E249" s="2" t="s">
        <v>13</v>
      </c>
      <c r="F249" s="2">
        <v>2007</v>
      </c>
      <c r="G249" s="3">
        <v>41912</v>
      </c>
      <c r="H249" s="2" t="s">
        <v>874</v>
      </c>
      <c r="I249" s="2" t="s">
        <v>15</v>
      </c>
      <c r="J249" s="2" t="s">
        <v>875</v>
      </c>
    </row>
    <row r="250" spans="1:10" hidden="1" x14ac:dyDescent="0.25">
      <c r="A250" s="2" t="s">
        <v>10</v>
      </c>
      <c r="B250" s="2" t="str">
        <f>"9780071479370"</f>
        <v>9780071479370</v>
      </c>
      <c r="C250" s="2" t="s">
        <v>876</v>
      </c>
      <c r="D250" s="2" t="s">
        <v>877</v>
      </c>
      <c r="E250" s="2" t="s">
        <v>13</v>
      </c>
      <c r="F250" s="2">
        <v>2007</v>
      </c>
      <c r="G250" s="3">
        <v>40909</v>
      </c>
      <c r="I250" s="2" t="s">
        <v>44</v>
      </c>
      <c r="J250" s="2" t="s">
        <v>878</v>
      </c>
    </row>
    <row r="251" spans="1:10" x14ac:dyDescent="0.25">
      <c r="A251" s="2" t="s">
        <v>10</v>
      </c>
      <c r="B251" s="2" t="str">
        <f>"9780071476966"</f>
        <v>9780071476966</v>
      </c>
      <c r="C251" s="2" t="s">
        <v>879</v>
      </c>
      <c r="D251" s="2" t="s">
        <v>880</v>
      </c>
      <c r="E251" s="2" t="s">
        <v>13</v>
      </c>
      <c r="F251" s="2">
        <v>2007</v>
      </c>
      <c r="G251" s="3">
        <v>40909</v>
      </c>
      <c r="H251" s="2" t="s">
        <v>881</v>
      </c>
      <c r="I251" s="2" t="s">
        <v>15</v>
      </c>
      <c r="J251" s="2" t="s">
        <v>882</v>
      </c>
    </row>
    <row r="252" spans="1:10" x14ac:dyDescent="0.25">
      <c r="A252" s="2" t="s">
        <v>10</v>
      </c>
      <c r="B252" s="2" t="str">
        <f>"9780071495943"</f>
        <v>9780071495943</v>
      </c>
      <c r="C252" s="2" t="s">
        <v>883</v>
      </c>
      <c r="D252" s="2" t="s">
        <v>583</v>
      </c>
      <c r="E252" s="2" t="s">
        <v>13</v>
      </c>
      <c r="F252" s="2">
        <v>2008</v>
      </c>
      <c r="G252" s="3">
        <v>40909</v>
      </c>
      <c r="H252" s="2" t="s">
        <v>884</v>
      </c>
      <c r="I252" s="2" t="s">
        <v>15</v>
      </c>
      <c r="J252" s="2" t="s">
        <v>885</v>
      </c>
    </row>
    <row r="253" spans="1:10" hidden="1" x14ac:dyDescent="0.25">
      <c r="A253" s="2" t="s">
        <v>10</v>
      </c>
      <c r="B253" s="2" t="str">
        <f>"9780071490238"</f>
        <v>9780071490238</v>
      </c>
      <c r="C253" s="2" t="s">
        <v>886</v>
      </c>
      <c r="D253" s="2" t="s">
        <v>468</v>
      </c>
      <c r="E253" s="2" t="s">
        <v>13</v>
      </c>
      <c r="F253" s="2">
        <v>2008</v>
      </c>
      <c r="G253" s="3">
        <v>40909</v>
      </c>
      <c r="H253" s="2" t="s">
        <v>887</v>
      </c>
      <c r="I253" s="2" t="s">
        <v>44</v>
      </c>
      <c r="J253" s="2" t="s">
        <v>888</v>
      </c>
    </row>
    <row r="254" spans="1:10" x14ac:dyDescent="0.25">
      <c r="A254" s="2" t="s">
        <v>10</v>
      </c>
      <c r="B254" s="2" t="str">
        <f>"9780071498913"</f>
        <v>9780071498913</v>
      </c>
      <c r="C254" s="2" t="s">
        <v>889</v>
      </c>
      <c r="D254" s="2" t="s">
        <v>837</v>
      </c>
      <c r="E254" s="2" t="s">
        <v>13</v>
      </c>
      <c r="F254" s="2">
        <v>2010</v>
      </c>
      <c r="G254" s="3">
        <v>41239</v>
      </c>
      <c r="H254" s="2" t="s">
        <v>434</v>
      </c>
      <c r="I254" s="2" t="s">
        <v>15</v>
      </c>
      <c r="J254" s="2" t="s">
        <v>890</v>
      </c>
    </row>
    <row r="255" spans="1:10" hidden="1" x14ac:dyDescent="0.25">
      <c r="A255" s="2" t="s">
        <v>10</v>
      </c>
      <c r="B255" s="2" t="str">
        <f>"9780071477499"</f>
        <v>9780071477499</v>
      </c>
      <c r="C255" s="2" t="s">
        <v>891</v>
      </c>
      <c r="D255" s="2" t="s">
        <v>892</v>
      </c>
      <c r="E255" s="2" t="s">
        <v>13</v>
      </c>
      <c r="F255" s="2">
        <v>2008</v>
      </c>
      <c r="G255" s="3">
        <v>40909</v>
      </c>
      <c r="I255" s="2" t="s">
        <v>44</v>
      </c>
      <c r="J255" s="2" t="s">
        <v>893</v>
      </c>
    </row>
    <row r="256" spans="1:10" hidden="1" x14ac:dyDescent="0.25">
      <c r="A256" s="2" t="s">
        <v>10</v>
      </c>
      <c r="B256" s="2" t="str">
        <f>"9780071487498"</f>
        <v>9780071487498</v>
      </c>
      <c r="C256" s="2" t="s">
        <v>894</v>
      </c>
      <c r="D256" s="2" t="s">
        <v>895</v>
      </c>
      <c r="E256" s="2" t="s">
        <v>13</v>
      </c>
      <c r="F256" s="2">
        <v>2008</v>
      </c>
      <c r="G256" s="3">
        <v>40909</v>
      </c>
      <c r="H256" s="2" t="s">
        <v>896</v>
      </c>
      <c r="I256" s="2" t="s">
        <v>44</v>
      </c>
      <c r="J256" s="2" t="s">
        <v>897</v>
      </c>
    </row>
    <row r="257" spans="1:10" x14ac:dyDescent="0.25">
      <c r="A257" s="2" t="s">
        <v>10</v>
      </c>
      <c r="B257" s="2" t="str">
        <f>"9780071474856"</f>
        <v>9780071474856</v>
      </c>
      <c r="C257" s="2" t="s">
        <v>898</v>
      </c>
      <c r="D257" s="2" t="s">
        <v>899</v>
      </c>
      <c r="E257" s="2" t="s">
        <v>13</v>
      </c>
      <c r="F257" s="2">
        <v>2007</v>
      </c>
      <c r="G257" s="3">
        <v>40909</v>
      </c>
      <c r="H257" s="2" t="s">
        <v>900</v>
      </c>
      <c r="I257" s="2" t="s">
        <v>15</v>
      </c>
      <c r="J257" s="2" t="s">
        <v>901</v>
      </c>
    </row>
    <row r="258" spans="1:10" hidden="1" x14ac:dyDescent="0.25">
      <c r="A258" s="2" t="s">
        <v>10</v>
      </c>
      <c r="B258" s="2" t="str">
        <f>"9780071483001"</f>
        <v>9780071483001</v>
      </c>
      <c r="C258" s="2" t="s">
        <v>902</v>
      </c>
      <c r="D258" s="2" t="s">
        <v>903</v>
      </c>
      <c r="E258" s="2" t="s">
        <v>13</v>
      </c>
      <c r="F258" s="2">
        <v>2007</v>
      </c>
      <c r="G258" s="3">
        <v>40909</v>
      </c>
      <c r="I258" s="2" t="s">
        <v>44</v>
      </c>
      <c r="J258" s="2" t="s">
        <v>904</v>
      </c>
    </row>
    <row r="259" spans="1:10" x14ac:dyDescent="0.25">
      <c r="A259" s="2" t="s">
        <v>10</v>
      </c>
      <c r="B259" s="2" t="str">
        <f>"9780071475730"</f>
        <v>9780071475730</v>
      </c>
      <c r="C259" s="2" t="s">
        <v>905</v>
      </c>
      <c r="D259" s="2" t="s">
        <v>906</v>
      </c>
      <c r="E259" s="2" t="s">
        <v>13</v>
      </c>
      <c r="F259" s="2">
        <v>2007</v>
      </c>
      <c r="G259" s="3">
        <v>41816</v>
      </c>
      <c r="H259" s="2" t="s">
        <v>907</v>
      </c>
      <c r="I259" s="2" t="s">
        <v>15</v>
      </c>
      <c r="J259" s="2" t="s">
        <v>908</v>
      </c>
    </row>
    <row r="260" spans="1:10" hidden="1" x14ac:dyDescent="0.25">
      <c r="A260" s="2" t="s">
        <v>10</v>
      </c>
      <c r="B260" s="2" t="str">
        <f>"9780071488600"</f>
        <v>9780071488600</v>
      </c>
      <c r="C260" s="2" t="s">
        <v>909</v>
      </c>
      <c r="D260" s="2" t="s">
        <v>910</v>
      </c>
      <c r="E260" s="2" t="s">
        <v>13</v>
      </c>
      <c r="F260" s="2">
        <v>2008</v>
      </c>
      <c r="G260" s="3">
        <v>40909</v>
      </c>
      <c r="I260" s="2" t="s">
        <v>44</v>
      </c>
      <c r="J260" s="2" t="s">
        <v>911</v>
      </c>
    </row>
    <row r="261" spans="1:10" x14ac:dyDescent="0.25">
      <c r="A261" s="2" t="s">
        <v>10</v>
      </c>
      <c r="B261" s="2" t="str">
        <f>"9780071498890"</f>
        <v>9780071498890</v>
      </c>
      <c r="C261" s="2" t="s">
        <v>912</v>
      </c>
      <c r="D261" s="2" t="s">
        <v>837</v>
      </c>
      <c r="E261" s="2" t="s">
        <v>13</v>
      </c>
      <c r="F261" s="2">
        <v>2010</v>
      </c>
      <c r="G261" s="3">
        <v>41241</v>
      </c>
      <c r="H261" s="2" t="s">
        <v>373</v>
      </c>
      <c r="I261" s="2" t="s">
        <v>15</v>
      </c>
      <c r="J261" s="2" t="s">
        <v>913</v>
      </c>
    </row>
    <row r="262" spans="1:10" hidden="1" x14ac:dyDescent="0.25">
      <c r="A262" s="2" t="s">
        <v>10</v>
      </c>
      <c r="B262" s="2" t="str">
        <f>"9780071481618"</f>
        <v>9780071481618</v>
      </c>
      <c r="C262" s="2" t="s">
        <v>914</v>
      </c>
      <c r="D262" s="2" t="s">
        <v>915</v>
      </c>
      <c r="E262" s="2" t="s">
        <v>13</v>
      </c>
      <c r="F262" s="2">
        <v>2007</v>
      </c>
      <c r="G262" s="3">
        <v>40909</v>
      </c>
      <c r="I262" s="2" t="s">
        <v>44</v>
      </c>
      <c r="J262" s="2" t="s">
        <v>916</v>
      </c>
    </row>
    <row r="263" spans="1:10" x14ac:dyDescent="0.25">
      <c r="A263" s="2" t="s">
        <v>10</v>
      </c>
      <c r="B263" s="2" t="str">
        <f>"9780071498906"</f>
        <v>9780071498906</v>
      </c>
      <c r="C263" s="2" t="s">
        <v>917</v>
      </c>
      <c r="D263" s="2" t="s">
        <v>837</v>
      </c>
      <c r="E263" s="2" t="s">
        <v>13</v>
      </c>
      <c r="F263" s="2">
        <v>2010</v>
      </c>
      <c r="G263" s="3">
        <v>41248</v>
      </c>
      <c r="H263" s="2" t="s">
        <v>252</v>
      </c>
      <c r="I263" s="2" t="s">
        <v>15</v>
      </c>
      <c r="J263" s="2" t="s">
        <v>918</v>
      </c>
    </row>
    <row r="264" spans="1:10" hidden="1" x14ac:dyDescent="0.25">
      <c r="A264" s="2" t="s">
        <v>10</v>
      </c>
      <c r="B264" s="2" t="str">
        <f>"9780071494373"</f>
        <v>9780071494373</v>
      </c>
      <c r="C264" s="2" t="s">
        <v>919</v>
      </c>
      <c r="D264" s="2" t="s">
        <v>920</v>
      </c>
      <c r="E264" s="2" t="s">
        <v>13</v>
      </c>
      <c r="F264" s="2">
        <v>2008</v>
      </c>
      <c r="G264" s="3">
        <v>40909</v>
      </c>
      <c r="I264" s="2" t="s">
        <v>44</v>
      </c>
      <c r="J264" s="2" t="s">
        <v>921</v>
      </c>
    </row>
    <row r="265" spans="1:10" hidden="1" x14ac:dyDescent="0.25">
      <c r="A265" s="2" t="s">
        <v>10</v>
      </c>
      <c r="B265" s="2" t="str">
        <f>"9780071482424"</f>
        <v>9780071482424</v>
      </c>
      <c r="C265" s="2" t="s">
        <v>922</v>
      </c>
      <c r="D265" s="2" t="s">
        <v>923</v>
      </c>
      <c r="E265" s="2" t="s">
        <v>13</v>
      </c>
      <c r="F265" s="2">
        <v>2008</v>
      </c>
      <c r="G265" s="3">
        <v>40909</v>
      </c>
      <c r="I265" s="2" t="s">
        <v>44</v>
      </c>
      <c r="J265" s="2" t="s">
        <v>924</v>
      </c>
    </row>
    <row r="266" spans="1:10" x14ac:dyDescent="0.25">
      <c r="A266" s="2" t="s">
        <v>10</v>
      </c>
      <c r="B266" s="2" t="str">
        <f>"9780071496605"</f>
        <v>9780071496605</v>
      </c>
      <c r="C266" s="2" t="s">
        <v>925</v>
      </c>
      <c r="D266" s="2" t="s">
        <v>926</v>
      </c>
      <c r="E266" s="2" t="s">
        <v>13</v>
      </c>
      <c r="F266" s="2">
        <v>2008</v>
      </c>
      <c r="G266" s="3">
        <v>40909</v>
      </c>
      <c r="H266" s="2" t="s">
        <v>927</v>
      </c>
      <c r="I266" s="2" t="s">
        <v>15</v>
      </c>
      <c r="J266" s="2" t="s">
        <v>928</v>
      </c>
    </row>
    <row r="267" spans="1:10" hidden="1" x14ac:dyDescent="0.25">
      <c r="A267" s="2" t="s">
        <v>10</v>
      </c>
      <c r="B267" s="2" t="str">
        <f>"9780071496742"</f>
        <v>9780071496742</v>
      </c>
      <c r="C267" s="2" t="s">
        <v>929</v>
      </c>
      <c r="D267" s="2" t="s">
        <v>930</v>
      </c>
      <c r="E267" s="2" t="s">
        <v>13</v>
      </c>
      <c r="F267" s="2">
        <v>2008</v>
      </c>
      <c r="G267" s="3">
        <v>40909</v>
      </c>
      <c r="I267" s="2" t="s">
        <v>44</v>
      </c>
      <c r="J267" s="2" t="s">
        <v>931</v>
      </c>
    </row>
    <row r="268" spans="1:10" x14ac:dyDescent="0.25">
      <c r="A268" s="2" t="s">
        <v>10</v>
      </c>
      <c r="B268" s="2" t="str">
        <f>"9780071481205"</f>
        <v>9780071481205</v>
      </c>
      <c r="C268" s="2" t="s">
        <v>932</v>
      </c>
      <c r="D268" s="2" t="s">
        <v>933</v>
      </c>
      <c r="E268" s="2" t="s">
        <v>13</v>
      </c>
      <c r="F268" s="2">
        <v>2007</v>
      </c>
      <c r="G268" s="3">
        <v>40909</v>
      </c>
      <c r="H268" s="2" t="s">
        <v>934</v>
      </c>
      <c r="I268" s="2" t="s">
        <v>15</v>
      </c>
      <c r="J268" s="2" t="s">
        <v>935</v>
      </c>
    </row>
    <row r="269" spans="1:10" x14ac:dyDescent="0.25">
      <c r="A269" s="2" t="s">
        <v>10</v>
      </c>
      <c r="B269" s="2" t="str">
        <f>"9780071621274"</f>
        <v>9780071621274</v>
      </c>
      <c r="C269" s="2" t="s">
        <v>936</v>
      </c>
      <c r="D269" s="2" t="s">
        <v>937</v>
      </c>
      <c r="E269" s="2" t="s">
        <v>13</v>
      </c>
      <c r="F269" s="2">
        <v>2013</v>
      </c>
      <c r="G269" s="3">
        <v>41596</v>
      </c>
      <c r="H269" s="2" t="s">
        <v>377</v>
      </c>
      <c r="I269" s="2" t="s">
        <v>15</v>
      </c>
      <c r="J269" s="2" t="s">
        <v>938</v>
      </c>
    </row>
    <row r="270" spans="1:10" x14ac:dyDescent="0.25">
      <c r="A270" s="2" t="s">
        <v>10</v>
      </c>
      <c r="B270" s="2" t="str">
        <f>"9780071614771"</f>
        <v>9780071614771</v>
      </c>
      <c r="C270" s="2" t="s">
        <v>939</v>
      </c>
      <c r="D270" s="2" t="s">
        <v>327</v>
      </c>
      <c r="E270" s="2" t="s">
        <v>13</v>
      </c>
      <c r="F270" s="2">
        <v>2011</v>
      </c>
      <c r="G270" s="3">
        <v>41471</v>
      </c>
      <c r="H270" s="2" t="s">
        <v>940</v>
      </c>
      <c r="I270" s="2" t="s">
        <v>15</v>
      </c>
      <c r="J270" s="2" t="s">
        <v>941</v>
      </c>
    </row>
    <row r="271" spans="1:10" x14ac:dyDescent="0.25">
      <c r="A271" s="2" t="s">
        <v>10</v>
      </c>
      <c r="B271" s="2" t="str">
        <f>"9780071609098"</f>
        <v>9780071609098</v>
      </c>
      <c r="C271" s="2" t="s">
        <v>942</v>
      </c>
      <c r="D271" s="2" t="s">
        <v>943</v>
      </c>
      <c r="E271" s="2" t="s">
        <v>13</v>
      </c>
      <c r="F271" s="2">
        <v>2010</v>
      </c>
      <c r="G271" s="3">
        <v>40909</v>
      </c>
      <c r="H271" s="2" t="s">
        <v>944</v>
      </c>
      <c r="I271" s="2" t="s">
        <v>15</v>
      </c>
      <c r="J271" s="2" t="s">
        <v>945</v>
      </c>
    </row>
    <row r="272" spans="1:10" x14ac:dyDescent="0.25">
      <c r="A272" s="2" t="s">
        <v>10</v>
      </c>
      <c r="B272" s="2" t="str">
        <f>"9780071614924"</f>
        <v>9780071614924</v>
      </c>
      <c r="C272" s="2" t="s">
        <v>946</v>
      </c>
      <c r="D272" s="2" t="s">
        <v>327</v>
      </c>
      <c r="E272" s="2" t="s">
        <v>13</v>
      </c>
      <c r="F272" s="2">
        <v>2011</v>
      </c>
      <c r="G272" s="3">
        <v>41450</v>
      </c>
      <c r="H272" s="2" t="s">
        <v>947</v>
      </c>
      <c r="I272" s="2" t="s">
        <v>15</v>
      </c>
      <c r="J272" s="2" t="s">
        <v>948</v>
      </c>
    </row>
    <row r="273" spans="1:10" hidden="1" x14ac:dyDescent="0.25">
      <c r="A273" s="2" t="s">
        <v>10</v>
      </c>
      <c r="B273" s="2" t="str">
        <f>"9780071608930"</f>
        <v>9780071608930</v>
      </c>
      <c r="C273" s="2" t="s">
        <v>949</v>
      </c>
      <c r="D273" s="2" t="s">
        <v>950</v>
      </c>
      <c r="E273" s="2" t="s">
        <v>13</v>
      </c>
      <c r="F273" s="2">
        <v>2009</v>
      </c>
      <c r="G273" s="3">
        <v>41227</v>
      </c>
      <c r="I273" s="2" t="s">
        <v>44</v>
      </c>
      <c r="J273" s="2" t="s">
        <v>951</v>
      </c>
    </row>
    <row r="274" spans="1:10" x14ac:dyDescent="0.25">
      <c r="A274" s="2" t="s">
        <v>10</v>
      </c>
      <c r="B274" s="2" t="str">
        <f>"9780071546898"</f>
        <v>9780071546898</v>
      </c>
      <c r="C274" s="2" t="s">
        <v>952</v>
      </c>
      <c r="D274" s="2" t="s">
        <v>634</v>
      </c>
      <c r="E274" s="2" t="s">
        <v>13</v>
      </c>
      <c r="F274" s="2">
        <v>2009</v>
      </c>
      <c r="G274" s="3">
        <v>40909</v>
      </c>
      <c r="H274" s="2" t="s">
        <v>953</v>
      </c>
      <c r="I274" s="2" t="s">
        <v>15</v>
      </c>
      <c r="J274" s="2" t="s">
        <v>954</v>
      </c>
    </row>
    <row r="275" spans="1:10" x14ac:dyDescent="0.25">
      <c r="A275" s="2" t="s">
        <v>10</v>
      </c>
      <c r="B275" s="2" t="str">
        <f>"9780071548663"</f>
        <v>9780071548663</v>
      </c>
      <c r="C275" s="2" t="s">
        <v>955</v>
      </c>
      <c r="D275" s="2" t="s">
        <v>956</v>
      </c>
      <c r="E275" s="2" t="s">
        <v>13</v>
      </c>
      <c r="F275" s="2">
        <v>2009</v>
      </c>
      <c r="G275" s="3">
        <v>40909</v>
      </c>
      <c r="H275" s="2" t="s">
        <v>135</v>
      </c>
      <c r="I275" s="2" t="s">
        <v>15</v>
      </c>
      <c r="J275" s="2" t="s">
        <v>957</v>
      </c>
    </row>
    <row r="276" spans="1:10" x14ac:dyDescent="0.25">
      <c r="A276" s="2" t="s">
        <v>10</v>
      </c>
      <c r="B276" s="2" t="str">
        <f>"9780071597982"</f>
        <v>9780071597982</v>
      </c>
      <c r="C276" s="2" t="s">
        <v>958</v>
      </c>
      <c r="D276" s="2" t="s">
        <v>959</v>
      </c>
      <c r="E276" s="2" t="s">
        <v>13</v>
      </c>
      <c r="F276" s="2">
        <v>2010</v>
      </c>
      <c r="G276" s="3">
        <v>40909</v>
      </c>
      <c r="H276" s="2" t="s">
        <v>960</v>
      </c>
      <c r="I276" s="2" t="s">
        <v>15</v>
      </c>
      <c r="J276" s="2" t="s">
        <v>961</v>
      </c>
    </row>
    <row r="277" spans="1:10" x14ac:dyDescent="0.25">
      <c r="A277" s="2" t="s">
        <v>10</v>
      </c>
      <c r="B277" s="2" t="str">
        <f>"9780071608800"</f>
        <v>9780071608800</v>
      </c>
      <c r="C277" s="2" t="s">
        <v>962</v>
      </c>
      <c r="D277" s="2" t="s">
        <v>963</v>
      </c>
      <c r="E277" s="2" t="s">
        <v>13</v>
      </c>
      <c r="F277" s="2">
        <v>2009</v>
      </c>
      <c r="G277" s="3">
        <v>40909</v>
      </c>
      <c r="H277" s="2" t="s">
        <v>964</v>
      </c>
      <c r="I277" s="2" t="s">
        <v>15</v>
      </c>
      <c r="J277" s="2" t="s">
        <v>965</v>
      </c>
    </row>
    <row r="278" spans="1:10" x14ac:dyDescent="0.25">
      <c r="A278" s="2" t="s">
        <v>10</v>
      </c>
      <c r="B278" s="2" t="str">
        <f>"9780071596756"</f>
        <v>9780071596756</v>
      </c>
      <c r="C278" s="2" t="s">
        <v>966</v>
      </c>
      <c r="D278" s="2" t="s">
        <v>967</v>
      </c>
      <c r="E278" s="2" t="s">
        <v>13</v>
      </c>
      <c r="F278" s="2">
        <v>2009</v>
      </c>
      <c r="G278" s="3">
        <v>40909</v>
      </c>
      <c r="H278" s="2" t="s">
        <v>146</v>
      </c>
      <c r="I278" s="2" t="s">
        <v>15</v>
      </c>
      <c r="J278" s="2" t="s">
        <v>968</v>
      </c>
    </row>
    <row r="279" spans="1:10" hidden="1" x14ac:dyDescent="0.25">
      <c r="A279" s="2" t="s">
        <v>10</v>
      </c>
      <c r="B279" s="2" t="str">
        <f>"9780071508582"</f>
        <v>9780071508582</v>
      </c>
      <c r="C279" s="2" t="s">
        <v>969</v>
      </c>
      <c r="D279" s="2" t="s">
        <v>970</v>
      </c>
      <c r="E279" s="2" t="s">
        <v>13</v>
      </c>
      <c r="F279" s="2">
        <v>2008</v>
      </c>
      <c r="G279" s="3">
        <v>41367</v>
      </c>
      <c r="I279" s="2" t="s">
        <v>44</v>
      </c>
      <c r="J279" s="2" t="s">
        <v>971</v>
      </c>
    </row>
    <row r="280" spans="1:10" x14ac:dyDescent="0.25">
      <c r="A280" s="2" t="s">
        <v>10</v>
      </c>
      <c r="B280" s="2" t="str">
        <f>"9780071599313"</f>
        <v>9780071599313</v>
      </c>
      <c r="C280" s="2" t="s">
        <v>972</v>
      </c>
      <c r="D280" s="2" t="s">
        <v>973</v>
      </c>
      <c r="E280" s="2" t="s">
        <v>13</v>
      </c>
      <c r="F280" s="2">
        <v>2010</v>
      </c>
      <c r="G280" s="3">
        <v>40909</v>
      </c>
      <c r="H280" s="2" t="s">
        <v>974</v>
      </c>
      <c r="I280" s="2" t="s">
        <v>15</v>
      </c>
      <c r="J280" s="2" t="s">
        <v>975</v>
      </c>
    </row>
    <row r="281" spans="1:10" hidden="1" x14ac:dyDescent="0.25">
      <c r="A281" s="2" t="s">
        <v>10</v>
      </c>
      <c r="B281" s="2" t="str">
        <f>"9780071549745"</f>
        <v>9780071549745</v>
      </c>
      <c r="C281" s="2" t="s">
        <v>976</v>
      </c>
      <c r="D281" s="2" t="s">
        <v>977</v>
      </c>
      <c r="E281" s="2" t="s">
        <v>13</v>
      </c>
      <c r="F281" s="2">
        <v>2009</v>
      </c>
      <c r="G281" s="3">
        <v>40909</v>
      </c>
      <c r="I281" s="2" t="s">
        <v>44</v>
      </c>
      <c r="J281" s="2" t="s">
        <v>978</v>
      </c>
    </row>
    <row r="282" spans="1:10" x14ac:dyDescent="0.25">
      <c r="A282" s="2" t="s">
        <v>10</v>
      </c>
      <c r="B282" s="2" t="str">
        <f>"9780071606288"</f>
        <v>9780071606288</v>
      </c>
      <c r="C282" s="2" t="s">
        <v>979</v>
      </c>
      <c r="D282" s="2" t="s">
        <v>980</v>
      </c>
      <c r="E282" s="2" t="s">
        <v>13</v>
      </c>
      <c r="F282" s="2">
        <v>2010</v>
      </c>
      <c r="G282" s="3">
        <v>40909</v>
      </c>
      <c r="H282" s="2" t="s">
        <v>981</v>
      </c>
      <c r="I282" s="2" t="s">
        <v>15</v>
      </c>
      <c r="J282" s="2" t="s">
        <v>982</v>
      </c>
    </row>
    <row r="283" spans="1:10" hidden="1" x14ac:dyDescent="0.25">
      <c r="A283" s="2" t="s">
        <v>10</v>
      </c>
      <c r="B283" s="2" t="str">
        <f>"9780071543675"</f>
        <v>9780071543675</v>
      </c>
      <c r="C283" s="2" t="s">
        <v>983</v>
      </c>
      <c r="D283" s="2" t="s">
        <v>634</v>
      </c>
      <c r="E283" s="2" t="s">
        <v>13</v>
      </c>
      <c r="F283" s="2">
        <v>2008</v>
      </c>
      <c r="G283" s="3">
        <v>40909</v>
      </c>
      <c r="I283" s="2" t="s">
        <v>44</v>
      </c>
      <c r="J283" s="2" t="s">
        <v>984</v>
      </c>
    </row>
    <row r="284" spans="1:10" x14ac:dyDescent="0.25">
      <c r="A284" s="2" t="s">
        <v>10</v>
      </c>
      <c r="B284" s="2" t="str">
        <f>"9780071508193"</f>
        <v>9780071508193</v>
      </c>
      <c r="C284" s="2" t="s">
        <v>985</v>
      </c>
      <c r="D284" s="2" t="s">
        <v>986</v>
      </c>
      <c r="E284" s="2" t="s">
        <v>13</v>
      </c>
      <c r="F284" s="2">
        <v>2010</v>
      </c>
      <c r="G284" s="3">
        <v>40909</v>
      </c>
      <c r="H284" s="2" t="s">
        <v>987</v>
      </c>
      <c r="I284" s="2" t="s">
        <v>15</v>
      </c>
      <c r="J284" s="2" t="s">
        <v>988</v>
      </c>
    </row>
    <row r="285" spans="1:10" hidden="1" x14ac:dyDescent="0.25">
      <c r="A285" s="2" t="s">
        <v>10</v>
      </c>
      <c r="B285" s="2" t="str">
        <f>"9780071548830"</f>
        <v>9780071548830</v>
      </c>
      <c r="C285" s="2" t="s">
        <v>989</v>
      </c>
      <c r="D285" s="2" t="s">
        <v>990</v>
      </c>
      <c r="E285" s="2" t="s">
        <v>13</v>
      </c>
      <c r="F285" s="2">
        <v>2009</v>
      </c>
      <c r="G285" s="3">
        <v>40909</v>
      </c>
      <c r="I285" s="2" t="s">
        <v>44</v>
      </c>
      <c r="J285" s="2" t="s">
        <v>991</v>
      </c>
    </row>
    <row r="286" spans="1:10" x14ac:dyDescent="0.25">
      <c r="A286" s="2" t="s">
        <v>10</v>
      </c>
      <c r="B286" s="2" t="str">
        <f>"9780071549189"</f>
        <v>9780071549189</v>
      </c>
      <c r="C286" s="2" t="s">
        <v>992</v>
      </c>
      <c r="D286" s="2" t="s">
        <v>993</v>
      </c>
      <c r="E286" s="2" t="s">
        <v>13</v>
      </c>
      <c r="F286" s="2">
        <v>2009</v>
      </c>
      <c r="G286" s="3">
        <v>40909</v>
      </c>
      <c r="H286" s="2" t="s">
        <v>994</v>
      </c>
      <c r="I286" s="2" t="s">
        <v>15</v>
      </c>
      <c r="J286" s="2" t="s">
        <v>995</v>
      </c>
    </row>
    <row r="287" spans="1:10" x14ac:dyDescent="0.25">
      <c r="A287" s="2" t="s">
        <v>10</v>
      </c>
      <c r="B287" s="2" t="str">
        <f>"9780071598804"</f>
        <v>9780071598804</v>
      </c>
      <c r="C287" s="2" t="s">
        <v>996</v>
      </c>
      <c r="D287" s="2" t="s">
        <v>997</v>
      </c>
      <c r="E287" s="2" t="s">
        <v>13</v>
      </c>
      <c r="F287" s="2">
        <v>2010</v>
      </c>
      <c r="G287" s="3">
        <v>40909</v>
      </c>
      <c r="H287" s="2" t="s">
        <v>373</v>
      </c>
      <c r="I287" s="2" t="s">
        <v>15</v>
      </c>
      <c r="J287" s="2" t="s">
        <v>998</v>
      </c>
    </row>
    <row r="288" spans="1:10" hidden="1" x14ac:dyDescent="0.25">
      <c r="A288" s="2" t="s">
        <v>10</v>
      </c>
      <c r="B288" s="2" t="str">
        <f>"9780071502443"</f>
        <v>9780071502443</v>
      </c>
      <c r="C288" s="2" t="s">
        <v>999</v>
      </c>
      <c r="D288" s="2" t="s">
        <v>903</v>
      </c>
      <c r="E288" s="2" t="s">
        <v>13</v>
      </c>
      <c r="F288" s="2">
        <v>2008</v>
      </c>
      <c r="G288" s="3">
        <v>40909</v>
      </c>
      <c r="I288" s="2" t="s">
        <v>44</v>
      </c>
      <c r="J288" s="2" t="s">
        <v>1000</v>
      </c>
    </row>
    <row r="289" spans="1:10" hidden="1" x14ac:dyDescent="0.25">
      <c r="A289" s="2" t="s">
        <v>10</v>
      </c>
      <c r="B289" s="2" t="str">
        <f>"9780071605526"</f>
        <v>9780071605526</v>
      </c>
      <c r="C289" s="2" t="s">
        <v>1001</v>
      </c>
      <c r="D289" s="2" t="s">
        <v>1002</v>
      </c>
      <c r="E289" s="2" t="s">
        <v>13</v>
      </c>
      <c r="F289" s="2">
        <v>2009</v>
      </c>
      <c r="G289" s="3">
        <v>40909</v>
      </c>
      <c r="I289" s="2" t="s">
        <v>44</v>
      </c>
      <c r="J289" s="2" t="s">
        <v>1003</v>
      </c>
    </row>
    <row r="290" spans="1:10" x14ac:dyDescent="0.25">
      <c r="A290" s="2" t="s">
        <v>10</v>
      </c>
      <c r="B290" s="2" t="str">
        <f>"9780071508186"</f>
        <v>9780071508186</v>
      </c>
      <c r="C290" s="2" t="s">
        <v>1004</v>
      </c>
      <c r="D290" s="2" t="s">
        <v>1005</v>
      </c>
      <c r="E290" s="2" t="s">
        <v>13</v>
      </c>
      <c r="F290" s="2">
        <v>2009</v>
      </c>
      <c r="G290" s="3">
        <v>40909</v>
      </c>
      <c r="H290" s="2" t="s">
        <v>853</v>
      </c>
      <c r="I290" s="2" t="s">
        <v>15</v>
      </c>
      <c r="J290" s="2" t="s">
        <v>1006</v>
      </c>
    </row>
    <row r="291" spans="1:10" hidden="1" x14ac:dyDescent="0.25">
      <c r="A291" s="2" t="s">
        <v>10</v>
      </c>
      <c r="B291" s="2" t="str">
        <f>"9780071593069"</f>
        <v>9780071593069</v>
      </c>
      <c r="C291" s="2" t="s">
        <v>1007</v>
      </c>
      <c r="D291" s="2" t="s">
        <v>1008</v>
      </c>
      <c r="E291" s="2" t="s">
        <v>13</v>
      </c>
      <c r="F291" s="2">
        <v>2009</v>
      </c>
      <c r="G291" s="3">
        <v>40909</v>
      </c>
      <c r="I291" s="2" t="s">
        <v>44</v>
      </c>
      <c r="J291" s="2" t="s">
        <v>1009</v>
      </c>
    </row>
    <row r="292" spans="1:10" x14ac:dyDescent="0.25">
      <c r="A292" s="2" t="s">
        <v>10</v>
      </c>
      <c r="B292" s="2" t="str">
        <f>"9780071546010"</f>
        <v>9780071546010</v>
      </c>
      <c r="C292" s="2" t="s">
        <v>1010</v>
      </c>
      <c r="D292" s="2" t="s">
        <v>1011</v>
      </c>
      <c r="E292" s="2" t="s">
        <v>13</v>
      </c>
      <c r="F292" s="2">
        <v>2009</v>
      </c>
      <c r="G292" s="3">
        <v>40909</v>
      </c>
      <c r="H292" s="2" t="s">
        <v>1012</v>
      </c>
      <c r="I292" s="2" t="s">
        <v>15</v>
      </c>
      <c r="J292" s="2" t="s">
        <v>1013</v>
      </c>
    </row>
    <row r="293" spans="1:10" x14ac:dyDescent="0.25">
      <c r="A293" s="2" t="s">
        <v>10</v>
      </c>
      <c r="B293" s="2" t="str">
        <f>"9780071606165"</f>
        <v>9780071606165</v>
      </c>
      <c r="C293" s="2" t="s">
        <v>1014</v>
      </c>
      <c r="D293" s="2" t="s">
        <v>1015</v>
      </c>
      <c r="E293" s="2" t="s">
        <v>13</v>
      </c>
      <c r="F293" s="2">
        <v>2009</v>
      </c>
      <c r="G293" s="3">
        <v>40909</v>
      </c>
      <c r="H293" s="2" t="s">
        <v>857</v>
      </c>
      <c r="I293" s="2" t="s">
        <v>15</v>
      </c>
      <c r="J293" s="2" t="s">
        <v>1016</v>
      </c>
    </row>
    <row r="294" spans="1:10" x14ac:dyDescent="0.25">
      <c r="A294" s="2" t="s">
        <v>10</v>
      </c>
      <c r="B294" s="2" t="str">
        <f>"9780071596992"</f>
        <v>9780071596992</v>
      </c>
      <c r="C294" s="2" t="s">
        <v>1017</v>
      </c>
      <c r="D294" s="2" t="s">
        <v>1018</v>
      </c>
      <c r="E294" s="2" t="s">
        <v>13</v>
      </c>
      <c r="F294" s="2">
        <v>2010</v>
      </c>
      <c r="G294" s="3">
        <v>40909</v>
      </c>
      <c r="H294" s="2" t="s">
        <v>1019</v>
      </c>
      <c r="I294" s="2" t="s">
        <v>15</v>
      </c>
      <c r="J294" s="2" t="s">
        <v>1020</v>
      </c>
    </row>
    <row r="295" spans="1:10" x14ac:dyDescent="0.25">
      <c r="A295" s="2" t="s">
        <v>10</v>
      </c>
      <c r="B295" s="2" t="str">
        <f>"9780071599214"</f>
        <v>9780071599214</v>
      </c>
      <c r="C295" s="2" t="s">
        <v>1021</v>
      </c>
      <c r="D295" s="2" t="s">
        <v>1022</v>
      </c>
      <c r="E295" s="2" t="s">
        <v>13</v>
      </c>
      <c r="F295" s="2">
        <v>2009</v>
      </c>
      <c r="G295" s="3">
        <v>40909</v>
      </c>
      <c r="H295" s="2" t="s">
        <v>1023</v>
      </c>
      <c r="I295" s="2" t="s">
        <v>15</v>
      </c>
      <c r="J295" s="2" t="s">
        <v>1024</v>
      </c>
    </row>
    <row r="296" spans="1:10" x14ac:dyDescent="0.25">
      <c r="A296" s="2" t="s">
        <v>10</v>
      </c>
      <c r="B296" s="2" t="str">
        <f>"9780071545914"</f>
        <v>9780071545914</v>
      </c>
      <c r="C296" s="2" t="s">
        <v>1025</v>
      </c>
      <c r="D296" s="2" t="s">
        <v>1026</v>
      </c>
      <c r="E296" s="2" t="s">
        <v>13</v>
      </c>
      <c r="F296" s="2">
        <v>2010</v>
      </c>
      <c r="G296" s="3">
        <v>40909</v>
      </c>
      <c r="H296" s="2" t="s">
        <v>1027</v>
      </c>
      <c r="I296" s="2" t="s">
        <v>15</v>
      </c>
      <c r="J296" s="2" t="s">
        <v>1028</v>
      </c>
    </row>
    <row r="297" spans="1:10" x14ac:dyDescent="0.25">
      <c r="A297" s="2" t="s">
        <v>10</v>
      </c>
      <c r="B297" s="2" t="str">
        <f>"9780071548298"</f>
        <v>9780071548298</v>
      </c>
      <c r="C297" s="2" t="s">
        <v>1029</v>
      </c>
      <c r="D297" s="2" t="s">
        <v>1030</v>
      </c>
      <c r="E297" s="2" t="s">
        <v>13</v>
      </c>
      <c r="F297" s="2">
        <v>2007</v>
      </c>
      <c r="G297" s="3">
        <v>41367</v>
      </c>
      <c r="H297" s="2" t="s">
        <v>1031</v>
      </c>
      <c r="I297" s="2" t="s">
        <v>15</v>
      </c>
      <c r="J297" s="2" t="s">
        <v>1032</v>
      </c>
    </row>
    <row r="298" spans="1:10" hidden="1" x14ac:dyDescent="0.25">
      <c r="A298" s="2" t="s">
        <v>10</v>
      </c>
      <c r="B298" s="2" t="str">
        <f>"9780071601511"</f>
        <v>9780071601511</v>
      </c>
      <c r="C298" s="2" t="s">
        <v>1033</v>
      </c>
      <c r="D298" s="2" t="s">
        <v>1034</v>
      </c>
      <c r="E298" s="2" t="s">
        <v>13</v>
      </c>
      <c r="F298" s="2">
        <v>2009</v>
      </c>
      <c r="G298" s="3">
        <v>40909</v>
      </c>
      <c r="I298" s="2" t="s">
        <v>44</v>
      </c>
      <c r="J298" s="2" t="s">
        <v>1035</v>
      </c>
    </row>
    <row r="299" spans="1:10" x14ac:dyDescent="0.25">
      <c r="A299" s="2" t="s">
        <v>10</v>
      </c>
      <c r="B299" s="2" t="str">
        <f>"9780071614696"</f>
        <v>9780071614696</v>
      </c>
      <c r="C299" s="2" t="s">
        <v>1036</v>
      </c>
      <c r="D299" s="2" t="s">
        <v>657</v>
      </c>
      <c r="E299" s="2" t="s">
        <v>13</v>
      </c>
      <c r="F299" s="2">
        <v>2010</v>
      </c>
      <c r="G299" s="3">
        <v>40909</v>
      </c>
      <c r="H299" s="2" t="s">
        <v>485</v>
      </c>
      <c r="I299" s="2" t="s">
        <v>15</v>
      </c>
      <c r="J299" s="2" t="s">
        <v>1037</v>
      </c>
    </row>
    <row r="300" spans="1:10" x14ac:dyDescent="0.25">
      <c r="A300" s="2" t="s">
        <v>10</v>
      </c>
      <c r="B300" s="2" t="str">
        <f>"9780071605564"</f>
        <v>9780071605564</v>
      </c>
      <c r="C300" s="2" t="s">
        <v>1038</v>
      </c>
      <c r="D300" s="2" t="s">
        <v>1039</v>
      </c>
      <c r="E300" s="2" t="s">
        <v>13</v>
      </c>
      <c r="F300" s="2">
        <v>2009</v>
      </c>
      <c r="G300" s="3">
        <v>40909</v>
      </c>
      <c r="H300" s="2" t="s">
        <v>1040</v>
      </c>
      <c r="I300" s="2" t="s">
        <v>15</v>
      </c>
      <c r="J300" s="2" t="s">
        <v>1041</v>
      </c>
    </row>
    <row r="301" spans="1:10" x14ac:dyDescent="0.25">
      <c r="A301" s="2" t="s">
        <v>10</v>
      </c>
      <c r="B301" s="2" t="str">
        <f>"9780071596978"</f>
        <v>9780071596978</v>
      </c>
      <c r="C301" s="2" t="s">
        <v>1042</v>
      </c>
      <c r="D301" s="2" t="s">
        <v>1043</v>
      </c>
      <c r="E301" s="2" t="s">
        <v>13</v>
      </c>
      <c r="F301" s="2">
        <v>2010</v>
      </c>
      <c r="G301" s="3">
        <v>40909</v>
      </c>
      <c r="H301" s="2" t="s">
        <v>1044</v>
      </c>
      <c r="I301" s="2" t="s">
        <v>15</v>
      </c>
      <c r="J301" s="2" t="s">
        <v>1045</v>
      </c>
    </row>
    <row r="302" spans="1:10" x14ac:dyDescent="0.25">
      <c r="A302" s="2" t="s">
        <v>10</v>
      </c>
      <c r="B302" s="2" t="str">
        <f>"9780071549387"</f>
        <v>9780071549387</v>
      </c>
      <c r="C302" s="2" t="s">
        <v>1046</v>
      </c>
      <c r="D302" s="2" t="s">
        <v>1047</v>
      </c>
      <c r="E302" s="2" t="s">
        <v>13</v>
      </c>
      <c r="F302" s="2">
        <v>2010</v>
      </c>
      <c r="G302" s="3">
        <v>40909</v>
      </c>
      <c r="H302" s="2" t="s">
        <v>1048</v>
      </c>
      <c r="I302" s="2" t="s">
        <v>15</v>
      </c>
      <c r="J302" s="2" t="s">
        <v>1049</v>
      </c>
    </row>
    <row r="303" spans="1:10" x14ac:dyDescent="0.25">
      <c r="A303" s="2" t="s">
        <v>10</v>
      </c>
      <c r="B303" s="2" t="str">
        <f>"9780071612883"</f>
        <v>9780071612883</v>
      </c>
      <c r="C303" s="2" t="s">
        <v>1050</v>
      </c>
      <c r="D303" s="2" t="s">
        <v>1051</v>
      </c>
      <c r="E303" s="2" t="s">
        <v>13</v>
      </c>
      <c r="F303" s="2">
        <v>2009</v>
      </c>
      <c r="G303" s="3">
        <v>40909</v>
      </c>
      <c r="H303" s="2" t="s">
        <v>900</v>
      </c>
      <c r="I303" s="2" t="s">
        <v>15</v>
      </c>
      <c r="J303" s="2" t="s">
        <v>1052</v>
      </c>
    </row>
    <row r="304" spans="1:10" x14ac:dyDescent="0.25">
      <c r="A304" s="2" t="s">
        <v>10</v>
      </c>
      <c r="B304" s="2" t="str">
        <f>"9780071499194"</f>
        <v>9780071499194</v>
      </c>
      <c r="C304" s="2" t="s">
        <v>1053</v>
      </c>
      <c r="D304" s="2" t="s">
        <v>1054</v>
      </c>
      <c r="E304" s="2" t="s">
        <v>13</v>
      </c>
      <c r="F304" s="2">
        <v>2009</v>
      </c>
      <c r="G304" s="3">
        <v>40909</v>
      </c>
      <c r="H304" s="2" t="s">
        <v>434</v>
      </c>
      <c r="I304" s="2" t="s">
        <v>15</v>
      </c>
      <c r="J304" s="2" t="s">
        <v>1055</v>
      </c>
    </row>
    <row r="305" spans="1:10" hidden="1" x14ac:dyDescent="0.25">
      <c r="A305" s="2" t="s">
        <v>10</v>
      </c>
      <c r="B305" s="2" t="str">
        <f>"9780071611626"</f>
        <v>9780071611626</v>
      </c>
      <c r="C305" s="2" t="s">
        <v>1056</v>
      </c>
      <c r="D305" s="2" t="s">
        <v>1057</v>
      </c>
      <c r="E305" s="2" t="s">
        <v>13</v>
      </c>
      <c r="F305" s="2">
        <v>2009</v>
      </c>
      <c r="G305" s="3">
        <v>40909</v>
      </c>
      <c r="I305" s="2" t="s">
        <v>44</v>
      </c>
      <c r="J305" s="2" t="s">
        <v>1058</v>
      </c>
    </row>
    <row r="306" spans="1:10" x14ac:dyDescent="0.25">
      <c r="A306" s="2" t="s">
        <v>10</v>
      </c>
      <c r="B306" s="2" t="str">
        <f>"9780071603171"</f>
        <v>9780071603171</v>
      </c>
      <c r="C306" s="2" t="s">
        <v>1059</v>
      </c>
      <c r="D306" s="2" t="s">
        <v>1060</v>
      </c>
      <c r="E306" s="2" t="s">
        <v>13</v>
      </c>
      <c r="F306" s="2">
        <v>2010</v>
      </c>
      <c r="G306" s="3">
        <v>40909</v>
      </c>
      <c r="H306" s="2" t="s">
        <v>91</v>
      </c>
      <c r="I306" s="2" t="s">
        <v>15</v>
      </c>
      <c r="J306" s="2" t="s">
        <v>1061</v>
      </c>
    </row>
    <row r="307" spans="1:10" x14ac:dyDescent="0.25">
      <c r="A307" s="2" t="s">
        <v>10</v>
      </c>
      <c r="B307" s="2" t="str">
        <f>"9780071605700"</f>
        <v>9780071605700</v>
      </c>
      <c r="C307" s="2" t="s">
        <v>1062</v>
      </c>
      <c r="D307" s="2" t="s">
        <v>1063</v>
      </c>
      <c r="E307" s="2" t="s">
        <v>13</v>
      </c>
      <c r="F307" s="2">
        <v>2010</v>
      </c>
      <c r="G307" s="3">
        <v>40909</v>
      </c>
      <c r="H307" s="2" t="s">
        <v>857</v>
      </c>
      <c r="I307" s="2" t="s">
        <v>15</v>
      </c>
      <c r="J307" s="2" t="s">
        <v>1064</v>
      </c>
    </row>
    <row r="308" spans="1:10" x14ac:dyDescent="0.25">
      <c r="A308" s="2" t="s">
        <v>10</v>
      </c>
      <c r="B308" s="2" t="str">
        <f>"9780071614757"</f>
        <v>9780071614757</v>
      </c>
      <c r="C308" s="2" t="s">
        <v>1065</v>
      </c>
      <c r="D308" s="2" t="s">
        <v>634</v>
      </c>
      <c r="E308" s="2" t="s">
        <v>13</v>
      </c>
      <c r="F308" s="2">
        <v>2009</v>
      </c>
      <c r="G308" s="3">
        <v>40909</v>
      </c>
      <c r="H308" s="2" t="s">
        <v>217</v>
      </c>
      <c r="I308" s="2" t="s">
        <v>15</v>
      </c>
      <c r="J308" s="2" t="s">
        <v>1066</v>
      </c>
    </row>
    <row r="309" spans="1:10" x14ac:dyDescent="0.25">
      <c r="A309" s="2" t="s">
        <v>10</v>
      </c>
      <c r="B309" s="2" t="str">
        <f>"9780071611572"</f>
        <v>9780071611572</v>
      </c>
      <c r="C309" s="2" t="s">
        <v>1067</v>
      </c>
      <c r="D309" s="2" t="s">
        <v>1068</v>
      </c>
      <c r="E309" s="2" t="s">
        <v>13</v>
      </c>
      <c r="F309" s="2">
        <v>2009</v>
      </c>
      <c r="G309" s="3">
        <v>40939</v>
      </c>
      <c r="H309" s="2" t="s">
        <v>1069</v>
      </c>
      <c r="I309" s="2" t="s">
        <v>15</v>
      </c>
      <c r="J309" s="2" t="s">
        <v>1070</v>
      </c>
    </row>
    <row r="310" spans="1:10" x14ac:dyDescent="0.25">
      <c r="A310" s="2" t="s">
        <v>10</v>
      </c>
      <c r="B310" s="2" t="str">
        <f>"9780071597210"</f>
        <v>9780071597210</v>
      </c>
      <c r="C310" s="2" t="s">
        <v>1071</v>
      </c>
      <c r="D310" s="2" t="s">
        <v>1072</v>
      </c>
      <c r="E310" s="2" t="s">
        <v>13</v>
      </c>
      <c r="F310" s="2">
        <v>2010</v>
      </c>
      <c r="G310" s="3">
        <v>40909</v>
      </c>
      <c r="H310" s="2" t="s">
        <v>1073</v>
      </c>
      <c r="I310" s="2" t="s">
        <v>15</v>
      </c>
      <c r="J310" s="2" t="s">
        <v>1074</v>
      </c>
    </row>
    <row r="311" spans="1:10" x14ac:dyDescent="0.25">
      <c r="A311" s="2" t="s">
        <v>10</v>
      </c>
      <c r="B311" s="2" t="str">
        <f>"9780071545815"</f>
        <v>9780071545815</v>
      </c>
      <c r="C311" s="2" t="s">
        <v>1075</v>
      </c>
      <c r="D311" s="2" t="s">
        <v>1076</v>
      </c>
      <c r="E311" s="2" t="s">
        <v>13</v>
      </c>
      <c r="F311" s="2">
        <v>2009</v>
      </c>
      <c r="G311" s="3">
        <v>40909</v>
      </c>
      <c r="H311" s="2" t="s">
        <v>1077</v>
      </c>
      <c r="I311" s="2" t="s">
        <v>15</v>
      </c>
      <c r="J311" s="2" t="s">
        <v>1078</v>
      </c>
    </row>
    <row r="312" spans="1:10" hidden="1" x14ac:dyDescent="0.25">
      <c r="A312" s="2" t="s">
        <v>10</v>
      </c>
      <c r="B312" s="2" t="str">
        <f>"9780071546461"</f>
        <v>9780071546461</v>
      </c>
      <c r="C312" s="2" t="s">
        <v>1079</v>
      </c>
      <c r="D312" s="2" t="s">
        <v>1080</v>
      </c>
      <c r="E312" s="2" t="s">
        <v>13</v>
      </c>
      <c r="F312" s="2">
        <v>2008</v>
      </c>
      <c r="G312" s="3">
        <v>40909</v>
      </c>
      <c r="I312" s="2" t="s">
        <v>44</v>
      </c>
      <c r="J312" s="2" t="s">
        <v>1081</v>
      </c>
    </row>
    <row r="313" spans="1:10" x14ac:dyDescent="0.25">
      <c r="A313" s="2" t="s">
        <v>10</v>
      </c>
      <c r="B313" s="2" t="str">
        <f>"9780071544528"</f>
        <v>9780071544528</v>
      </c>
      <c r="C313" s="2" t="s">
        <v>1082</v>
      </c>
      <c r="D313" s="2" t="s">
        <v>1083</v>
      </c>
      <c r="E313" s="2" t="s">
        <v>13</v>
      </c>
      <c r="F313" s="2">
        <v>2008</v>
      </c>
      <c r="G313" s="3">
        <v>40909</v>
      </c>
      <c r="H313" s="2" t="s">
        <v>477</v>
      </c>
      <c r="I313" s="2" t="s">
        <v>15</v>
      </c>
      <c r="J313" s="2" t="s">
        <v>1084</v>
      </c>
    </row>
    <row r="314" spans="1:10" x14ac:dyDescent="0.25">
      <c r="A314" s="2" t="s">
        <v>10</v>
      </c>
      <c r="B314" s="2" t="str">
        <f>"9780071605243"</f>
        <v>9780071605243</v>
      </c>
      <c r="C314" s="2" t="s">
        <v>1085</v>
      </c>
      <c r="D314" s="2" t="s">
        <v>1086</v>
      </c>
      <c r="E314" s="2" t="s">
        <v>13</v>
      </c>
      <c r="F314" s="2">
        <v>2009</v>
      </c>
      <c r="G314" s="3">
        <v>40909</v>
      </c>
      <c r="H314" s="2" t="s">
        <v>1087</v>
      </c>
      <c r="I314" s="2" t="s">
        <v>15</v>
      </c>
      <c r="J314" s="2" t="s">
        <v>1088</v>
      </c>
    </row>
    <row r="315" spans="1:10" x14ac:dyDescent="0.25">
      <c r="A315" s="2" t="s">
        <v>10</v>
      </c>
      <c r="B315" s="2" t="str">
        <f>"9780071606134"</f>
        <v>9780071606134</v>
      </c>
      <c r="C315" s="2" t="s">
        <v>1089</v>
      </c>
      <c r="D315" s="2" t="s">
        <v>1090</v>
      </c>
      <c r="E315" s="2" t="s">
        <v>13</v>
      </c>
      <c r="F315" s="2">
        <v>2009</v>
      </c>
      <c r="G315" s="3">
        <v>40909</v>
      </c>
      <c r="H315" s="2" t="s">
        <v>1091</v>
      </c>
      <c r="I315" s="2" t="s">
        <v>15</v>
      </c>
      <c r="J315" s="2" t="s">
        <v>1092</v>
      </c>
    </row>
    <row r="316" spans="1:10" x14ac:dyDescent="0.25">
      <c r="A316" s="2" t="s">
        <v>10</v>
      </c>
      <c r="B316" s="2" t="str">
        <f>"9780071591225"</f>
        <v>9780071591225</v>
      </c>
      <c r="C316" s="2" t="s">
        <v>1093</v>
      </c>
      <c r="D316" s="2" t="s">
        <v>634</v>
      </c>
      <c r="E316" s="2" t="s">
        <v>13</v>
      </c>
      <c r="F316" s="2">
        <v>2008</v>
      </c>
      <c r="G316" s="3">
        <v>40909</v>
      </c>
      <c r="H316" s="2" t="s">
        <v>1094</v>
      </c>
      <c r="I316" s="2" t="s">
        <v>15</v>
      </c>
      <c r="J316" s="2" t="s">
        <v>1095</v>
      </c>
    </row>
    <row r="317" spans="1:10" x14ac:dyDescent="0.25">
      <c r="A317" s="2" t="s">
        <v>10</v>
      </c>
      <c r="B317" s="2" t="str">
        <f>"9780071601566"</f>
        <v>9780071601566</v>
      </c>
      <c r="C317" s="2" t="s">
        <v>1096</v>
      </c>
      <c r="D317" s="2" t="s">
        <v>1097</v>
      </c>
      <c r="E317" s="2" t="s">
        <v>13</v>
      </c>
      <c r="F317" s="2">
        <v>2010</v>
      </c>
      <c r="G317" s="3">
        <v>40909</v>
      </c>
      <c r="H317" s="2" t="s">
        <v>1098</v>
      </c>
      <c r="I317" s="2" t="s">
        <v>15</v>
      </c>
      <c r="J317" s="2" t="s">
        <v>1099</v>
      </c>
    </row>
    <row r="318" spans="1:10" x14ac:dyDescent="0.25">
      <c r="A318" s="2" t="s">
        <v>10</v>
      </c>
      <c r="B318" s="2" t="str">
        <f>"9780071603218"</f>
        <v>9780071603218</v>
      </c>
      <c r="C318" s="2" t="s">
        <v>1100</v>
      </c>
      <c r="D318" s="2" t="s">
        <v>1101</v>
      </c>
      <c r="E318" s="2" t="s">
        <v>13</v>
      </c>
      <c r="F318" s="2">
        <v>2010</v>
      </c>
      <c r="G318" s="3">
        <v>40909</v>
      </c>
      <c r="H318" s="2" t="s">
        <v>1102</v>
      </c>
      <c r="I318" s="2" t="s">
        <v>15</v>
      </c>
      <c r="J318" s="2" t="s">
        <v>1103</v>
      </c>
    </row>
    <row r="319" spans="1:10" x14ac:dyDescent="0.25">
      <c r="A319" s="2" t="s">
        <v>10</v>
      </c>
      <c r="B319" s="2" t="str">
        <f>"9780071597630"</f>
        <v>9780071597630</v>
      </c>
      <c r="C319" s="2" t="s">
        <v>1104</v>
      </c>
      <c r="D319" s="2" t="s">
        <v>531</v>
      </c>
      <c r="E319" s="2" t="s">
        <v>13</v>
      </c>
      <c r="F319" s="2">
        <v>2009</v>
      </c>
      <c r="G319" s="3">
        <v>41109</v>
      </c>
      <c r="H319" s="2" t="s">
        <v>1105</v>
      </c>
      <c r="I319" s="2" t="s">
        <v>15</v>
      </c>
      <c r="J319" s="2" t="s">
        <v>1106</v>
      </c>
    </row>
    <row r="320" spans="1:10" x14ac:dyDescent="0.25">
      <c r="A320" s="2" t="s">
        <v>10</v>
      </c>
      <c r="B320" s="2" t="str">
        <f>"9780071508216"</f>
        <v>9780071508216</v>
      </c>
      <c r="C320" s="2" t="s">
        <v>1107</v>
      </c>
      <c r="D320" s="2" t="s">
        <v>1108</v>
      </c>
      <c r="E320" s="2" t="s">
        <v>13</v>
      </c>
      <c r="F320" s="2">
        <v>2009</v>
      </c>
      <c r="G320" s="3">
        <v>40909</v>
      </c>
      <c r="H320" s="2" t="s">
        <v>1109</v>
      </c>
      <c r="I320" s="2" t="s">
        <v>15</v>
      </c>
      <c r="J320" s="2" t="s">
        <v>1110</v>
      </c>
    </row>
    <row r="321" spans="1:10" x14ac:dyDescent="0.25">
      <c r="A321" s="2" t="s">
        <v>10</v>
      </c>
      <c r="B321" s="2" t="str">
        <f>"9780071604659"</f>
        <v>9780071604659</v>
      </c>
      <c r="C321" s="2" t="s">
        <v>1111</v>
      </c>
      <c r="D321" s="2" t="s">
        <v>1112</v>
      </c>
      <c r="E321" s="2" t="s">
        <v>13</v>
      </c>
      <c r="F321" s="2">
        <v>2009</v>
      </c>
      <c r="G321" s="3">
        <v>40909</v>
      </c>
      <c r="H321" s="2" t="s">
        <v>377</v>
      </c>
      <c r="I321" s="2" t="s">
        <v>15</v>
      </c>
      <c r="J321" s="2" t="s">
        <v>1113</v>
      </c>
    </row>
    <row r="322" spans="1:10" x14ac:dyDescent="0.25">
      <c r="A322" s="2" t="s">
        <v>10</v>
      </c>
      <c r="B322" s="2" t="str">
        <f>"9780071499187"</f>
        <v>9780071499187</v>
      </c>
      <c r="C322" s="2" t="s">
        <v>1114</v>
      </c>
      <c r="D322" s="2" t="s">
        <v>1115</v>
      </c>
      <c r="E322" s="2" t="s">
        <v>13</v>
      </c>
      <c r="F322" s="2">
        <v>2008</v>
      </c>
      <c r="G322" s="3">
        <v>40909</v>
      </c>
      <c r="H322" s="2" t="s">
        <v>511</v>
      </c>
      <c r="I322" s="2" t="s">
        <v>15</v>
      </c>
      <c r="J322" s="2" t="s">
        <v>1116</v>
      </c>
    </row>
    <row r="323" spans="1:10" x14ac:dyDescent="0.25">
      <c r="A323" s="2" t="s">
        <v>10</v>
      </c>
      <c r="B323" s="2" t="str">
        <f>"9780071547673"</f>
        <v>9780071547673</v>
      </c>
      <c r="C323" s="2" t="s">
        <v>1117</v>
      </c>
      <c r="D323" s="2" t="s">
        <v>564</v>
      </c>
      <c r="E323" s="2" t="s">
        <v>13</v>
      </c>
      <c r="F323" s="2">
        <v>2009</v>
      </c>
      <c r="G323" s="3">
        <v>40909</v>
      </c>
      <c r="H323" s="2" t="s">
        <v>536</v>
      </c>
      <c r="I323" s="2" t="s">
        <v>15</v>
      </c>
      <c r="J323" s="2" t="s">
        <v>1118</v>
      </c>
    </row>
    <row r="324" spans="1:10" x14ac:dyDescent="0.25">
      <c r="A324" s="2" t="s">
        <v>10</v>
      </c>
      <c r="B324" s="2" t="str">
        <f>"9780071604710"</f>
        <v>9780071604710</v>
      </c>
      <c r="C324" s="2" t="s">
        <v>1119</v>
      </c>
      <c r="D324" s="2" t="s">
        <v>1120</v>
      </c>
      <c r="E324" s="2" t="s">
        <v>13</v>
      </c>
      <c r="F324" s="2">
        <v>2010</v>
      </c>
      <c r="G324" s="3">
        <v>40909</v>
      </c>
      <c r="H324" s="2" t="s">
        <v>1121</v>
      </c>
      <c r="I324" s="2" t="s">
        <v>15</v>
      </c>
      <c r="J324" s="2" t="s">
        <v>1122</v>
      </c>
    </row>
    <row r="325" spans="1:10" x14ac:dyDescent="0.25">
      <c r="A325" s="2" t="s">
        <v>10</v>
      </c>
      <c r="B325" s="2" t="str">
        <f>"9780071605724"</f>
        <v>9780071605724</v>
      </c>
      <c r="C325" s="2" t="s">
        <v>1123</v>
      </c>
      <c r="D325" s="2" t="s">
        <v>1063</v>
      </c>
      <c r="E325" s="2" t="s">
        <v>13</v>
      </c>
      <c r="F325" s="2">
        <v>2010</v>
      </c>
      <c r="G325" s="3">
        <v>40909</v>
      </c>
      <c r="H325" s="2" t="s">
        <v>857</v>
      </c>
      <c r="I325" s="2" t="s">
        <v>15</v>
      </c>
      <c r="J325" s="2" t="s">
        <v>1124</v>
      </c>
    </row>
    <row r="326" spans="1:10" x14ac:dyDescent="0.25">
      <c r="A326" s="2" t="s">
        <v>10</v>
      </c>
      <c r="B326" s="2" t="str">
        <f>"9780071550055"</f>
        <v>9780071550055</v>
      </c>
      <c r="C326" s="2" t="s">
        <v>1125</v>
      </c>
      <c r="D326" s="2" t="s">
        <v>1126</v>
      </c>
      <c r="E326" s="2" t="s">
        <v>13</v>
      </c>
      <c r="F326" s="2">
        <v>2010</v>
      </c>
      <c r="G326" s="3">
        <v>40909</v>
      </c>
      <c r="H326" s="2" t="s">
        <v>1127</v>
      </c>
      <c r="I326" s="2" t="s">
        <v>15</v>
      </c>
      <c r="J326" s="2" t="s">
        <v>1128</v>
      </c>
    </row>
    <row r="327" spans="1:10" x14ac:dyDescent="0.25">
      <c r="A327" s="2" t="s">
        <v>10</v>
      </c>
      <c r="B327" s="2" t="str">
        <f>"9780071609012"</f>
        <v>9780071609012</v>
      </c>
      <c r="C327" s="2" t="s">
        <v>1129</v>
      </c>
      <c r="D327" s="2" t="s">
        <v>1130</v>
      </c>
      <c r="E327" s="2" t="s">
        <v>13</v>
      </c>
      <c r="F327" s="2">
        <v>2011</v>
      </c>
      <c r="G327" s="3">
        <v>40909</v>
      </c>
      <c r="H327" s="2" t="s">
        <v>252</v>
      </c>
      <c r="I327" s="2" t="s">
        <v>15</v>
      </c>
      <c r="J327" s="2" t="s">
        <v>1131</v>
      </c>
    </row>
    <row r="328" spans="1:10" x14ac:dyDescent="0.25">
      <c r="A328" s="2" t="s">
        <v>10</v>
      </c>
      <c r="B328" s="2" t="str">
        <f>"9780071544689"</f>
        <v>9780071544689</v>
      </c>
      <c r="C328" s="2" t="s">
        <v>1132</v>
      </c>
      <c r="D328" s="2" t="s">
        <v>1133</v>
      </c>
      <c r="E328" s="2" t="s">
        <v>13</v>
      </c>
      <c r="F328" s="2">
        <v>2009</v>
      </c>
      <c r="G328" s="3">
        <v>40909</v>
      </c>
      <c r="H328" s="2" t="s">
        <v>1134</v>
      </c>
      <c r="I328" s="2" t="s">
        <v>15</v>
      </c>
      <c r="J328" s="2" t="s">
        <v>1135</v>
      </c>
    </row>
    <row r="329" spans="1:10" x14ac:dyDescent="0.25">
      <c r="A329" s="2" t="s">
        <v>10</v>
      </c>
      <c r="B329" s="2" t="str">
        <f>"9780071621472"</f>
        <v>9780071621472</v>
      </c>
      <c r="C329" s="2" t="s">
        <v>1136</v>
      </c>
      <c r="D329" s="2" t="s">
        <v>803</v>
      </c>
      <c r="E329" s="2" t="s">
        <v>13</v>
      </c>
      <c r="F329" s="2">
        <v>2010</v>
      </c>
      <c r="G329" s="3">
        <v>40909</v>
      </c>
      <c r="H329" s="2" t="s">
        <v>692</v>
      </c>
      <c r="I329" s="2" t="s">
        <v>15</v>
      </c>
      <c r="J329" s="2" t="s">
        <v>1137</v>
      </c>
    </row>
    <row r="330" spans="1:10" hidden="1" x14ac:dyDescent="0.25">
      <c r="A330" s="2" t="s">
        <v>10</v>
      </c>
      <c r="B330" s="2" t="str">
        <f>"9780071605472"</f>
        <v>9780071605472</v>
      </c>
      <c r="C330" s="2" t="s">
        <v>1138</v>
      </c>
      <c r="D330" s="2" t="s">
        <v>1139</v>
      </c>
      <c r="E330" s="2" t="s">
        <v>13</v>
      </c>
      <c r="F330" s="2">
        <v>2009</v>
      </c>
      <c r="G330" s="3">
        <v>40909</v>
      </c>
      <c r="I330" s="2" t="s">
        <v>44</v>
      </c>
      <c r="J330" s="2" t="s">
        <v>1140</v>
      </c>
    </row>
    <row r="331" spans="1:10" x14ac:dyDescent="0.25">
      <c r="A331" s="2" t="s">
        <v>10</v>
      </c>
      <c r="B331" s="2" t="str">
        <f>"9780071614719"</f>
        <v>9780071614719</v>
      </c>
      <c r="C331" s="2" t="s">
        <v>1141</v>
      </c>
      <c r="D331" s="2" t="s">
        <v>634</v>
      </c>
      <c r="E331" s="2" t="s">
        <v>13</v>
      </c>
      <c r="F331" s="2">
        <v>2009</v>
      </c>
      <c r="G331" s="3">
        <v>40909</v>
      </c>
      <c r="H331" s="2" t="s">
        <v>1142</v>
      </c>
      <c r="I331" s="2" t="s">
        <v>15</v>
      </c>
      <c r="J331" s="2" t="s">
        <v>1143</v>
      </c>
    </row>
    <row r="332" spans="1:10" x14ac:dyDescent="0.25">
      <c r="A332" s="2" t="s">
        <v>10</v>
      </c>
      <c r="B332" s="2" t="str">
        <f>"9780071605540"</f>
        <v>9780071605540</v>
      </c>
      <c r="C332" s="2" t="s">
        <v>1144</v>
      </c>
      <c r="D332" s="2" t="s">
        <v>1145</v>
      </c>
      <c r="E332" s="2" t="s">
        <v>13</v>
      </c>
      <c r="F332" s="2">
        <v>2011</v>
      </c>
      <c r="G332" s="3">
        <v>40909</v>
      </c>
      <c r="H332" s="2" t="s">
        <v>1146</v>
      </c>
      <c r="I332" s="2" t="s">
        <v>15</v>
      </c>
      <c r="J332" s="2" t="s">
        <v>1147</v>
      </c>
    </row>
    <row r="333" spans="1:10" x14ac:dyDescent="0.25">
      <c r="A333" s="2" t="s">
        <v>10</v>
      </c>
      <c r="B333" s="2" t="str">
        <f>"9780071609180"</f>
        <v>9780071609180</v>
      </c>
      <c r="C333" s="2" t="s">
        <v>1148</v>
      </c>
      <c r="D333" s="2" t="s">
        <v>1149</v>
      </c>
      <c r="E333" s="2" t="s">
        <v>13</v>
      </c>
      <c r="F333" s="2">
        <v>2009</v>
      </c>
      <c r="G333" s="3">
        <v>40909</v>
      </c>
      <c r="H333" s="2" t="s">
        <v>900</v>
      </c>
      <c r="I333" s="2" t="s">
        <v>15</v>
      </c>
      <c r="J333" s="2" t="s">
        <v>1150</v>
      </c>
    </row>
    <row r="334" spans="1:10" x14ac:dyDescent="0.25">
      <c r="A334" s="2" t="s">
        <v>10</v>
      </c>
      <c r="B334" s="2" t="str">
        <f>"9780071627979"</f>
        <v>9780071627979</v>
      </c>
      <c r="C334" s="2" t="s">
        <v>1151</v>
      </c>
      <c r="D334" s="2" t="s">
        <v>1152</v>
      </c>
      <c r="E334" s="2" t="s">
        <v>13</v>
      </c>
      <c r="F334" s="2">
        <v>2010</v>
      </c>
      <c r="G334" s="3">
        <v>41912</v>
      </c>
      <c r="H334" s="2" t="s">
        <v>1153</v>
      </c>
      <c r="I334" s="2" t="s">
        <v>15</v>
      </c>
      <c r="J334" s="2" t="s">
        <v>1154</v>
      </c>
    </row>
    <row r="335" spans="1:10" x14ac:dyDescent="0.25">
      <c r="A335" s="2" t="s">
        <v>10</v>
      </c>
      <c r="B335" s="2" t="str">
        <f>"9780071702799"</f>
        <v>9780071702799</v>
      </c>
      <c r="C335" s="2" t="s">
        <v>1155</v>
      </c>
      <c r="D335" s="2" t="s">
        <v>1156</v>
      </c>
      <c r="E335" s="2" t="s">
        <v>13</v>
      </c>
      <c r="F335" s="2">
        <v>2011</v>
      </c>
      <c r="G335" s="3">
        <v>41605</v>
      </c>
      <c r="H335" s="2" t="s">
        <v>1031</v>
      </c>
      <c r="I335" s="2" t="s">
        <v>15</v>
      </c>
      <c r="J335" s="2" t="s">
        <v>1157</v>
      </c>
    </row>
    <row r="336" spans="1:10" hidden="1" x14ac:dyDescent="0.25">
      <c r="A336" s="2" t="s">
        <v>10</v>
      </c>
      <c r="B336" s="2" t="str">
        <f>"9780071667968"</f>
        <v>9780071667968</v>
      </c>
      <c r="C336" s="2" t="s">
        <v>1158</v>
      </c>
      <c r="D336" s="2" t="s">
        <v>1159</v>
      </c>
      <c r="E336" s="2" t="s">
        <v>13</v>
      </c>
      <c r="F336" s="2">
        <v>2012</v>
      </c>
      <c r="G336" s="3">
        <v>41198</v>
      </c>
      <c r="I336" s="2" t="s">
        <v>44</v>
      </c>
      <c r="J336" s="2" t="s">
        <v>1160</v>
      </c>
    </row>
    <row r="337" spans="1:10" x14ac:dyDescent="0.25">
      <c r="A337" s="2" t="s">
        <v>10</v>
      </c>
      <c r="B337" s="2" t="str">
        <f>"9780071701228"</f>
        <v>9780071701228</v>
      </c>
      <c r="C337" s="2" t="s">
        <v>1161</v>
      </c>
      <c r="D337" s="2" t="s">
        <v>1162</v>
      </c>
      <c r="E337" s="2" t="s">
        <v>13</v>
      </c>
      <c r="F337" s="2">
        <v>2010</v>
      </c>
      <c r="G337" s="3">
        <v>40909</v>
      </c>
      <c r="H337" s="2" t="s">
        <v>900</v>
      </c>
      <c r="I337" s="2" t="s">
        <v>15</v>
      </c>
      <c r="J337" s="2" t="s">
        <v>1163</v>
      </c>
    </row>
    <row r="338" spans="1:10" x14ac:dyDescent="0.25">
      <c r="A338" s="2" t="s">
        <v>10</v>
      </c>
      <c r="B338" s="2" t="str">
        <f>"9780071622950"</f>
        <v>9780071622950</v>
      </c>
      <c r="C338" s="2" t="s">
        <v>1164</v>
      </c>
      <c r="D338" s="2" t="s">
        <v>1008</v>
      </c>
      <c r="E338" s="2" t="s">
        <v>13</v>
      </c>
      <c r="F338" s="2">
        <v>2010</v>
      </c>
      <c r="G338" s="3">
        <v>40909</v>
      </c>
      <c r="H338" s="2" t="s">
        <v>1165</v>
      </c>
      <c r="I338" s="2" t="s">
        <v>15</v>
      </c>
      <c r="J338" s="2" t="s">
        <v>1166</v>
      </c>
    </row>
    <row r="339" spans="1:10" x14ac:dyDescent="0.25">
      <c r="A339" s="2" t="s">
        <v>10</v>
      </c>
      <c r="B339" s="2" t="str">
        <f>"9780071637930"</f>
        <v>9780071637930</v>
      </c>
      <c r="C339" s="2" t="s">
        <v>1167</v>
      </c>
      <c r="D339" s="2" t="s">
        <v>1168</v>
      </c>
      <c r="E339" s="2" t="s">
        <v>13</v>
      </c>
      <c r="F339" s="2">
        <v>2011</v>
      </c>
      <c r="G339" s="3">
        <v>41249</v>
      </c>
      <c r="H339" s="2" t="s">
        <v>900</v>
      </c>
      <c r="I339" s="2" t="s">
        <v>15</v>
      </c>
      <c r="J339" s="2" t="s">
        <v>1169</v>
      </c>
    </row>
    <row r="340" spans="1:10" x14ac:dyDescent="0.25">
      <c r="A340" s="2" t="s">
        <v>10</v>
      </c>
      <c r="B340" s="2" t="str">
        <f>"9780071639712"</f>
        <v>9780071639712</v>
      </c>
      <c r="C340" s="2" t="s">
        <v>1170</v>
      </c>
      <c r="D340" s="2" t="s">
        <v>1171</v>
      </c>
      <c r="E340" s="2" t="s">
        <v>13</v>
      </c>
      <c r="F340" s="2">
        <v>2011</v>
      </c>
      <c r="G340" s="3">
        <v>40909</v>
      </c>
      <c r="H340" s="2" t="s">
        <v>853</v>
      </c>
      <c r="I340" s="2" t="s">
        <v>15</v>
      </c>
      <c r="J340" s="2" t="s">
        <v>1172</v>
      </c>
    </row>
    <row r="341" spans="1:10" x14ac:dyDescent="0.25">
      <c r="A341" s="2" t="s">
        <v>10</v>
      </c>
      <c r="B341" s="2" t="str">
        <f>"9780071622967"</f>
        <v>9780071622967</v>
      </c>
      <c r="C341" s="2" t="s">
        <v>1173</v>
      </c>
      <c r="D341" s="2" t="s">
        <v>1174</v>
      </c>
      <c r="E341" s="2" t="s">
        <v>13</v>
      </c>
      <c r="F341" s="2">
        <v>2010</v>
      </c>
      <c r="G341" s="3">
        <v>40909</v>
      </c>
      <c r="H341" s="2" t="s">
        <v>1175</v>
      </c>
      <c r="I341" s="2" t="s">
        <v>15</v>
      </c>
      <c r="J341" s="2" t="s">
        <v>1176</v>
      </c>
    </row>
    <row r="342" spans="1:10" x14ac:dyDescent="0.25">
      <c r="A342" s="2" t="s">
        <v>10</v>
      </c>
      <c r="B342" s="2" t="str">
        <f>"9780071626835"</f>
        <v>9780071626835</v>
      </c>
      <c r="C342" s="2" t="s">
        <v>1177</v>
      </c>
      <c r="D342" s="2" t="s">
        <v>1178</v>
      </c>
      <c r="E342" s="2" t="s">
        <v>13</v>
      </c>
      <c r="F342" s="2">
        <v>2011</v>
      </c>
      <c r="G342" s="3">
        <v>41281</v>
      </c>
      <c r="H342" s="2" t="s">
        <v>1179</v>
      </c>
      <c r="I342" s="2" t="s">
        <v>15</v>
      </c>
      <c r="J342" s="2" t="s">
        <v>1180</v>
      </c>
    </row>
    <row r="343" spans="1:10" hidden="1" x14ac:dyDescent="0.25">
      <c r="A343" s="2" t="s">
        <v>10</v>
      </c>
      <c r="B343" s="2" t="str">
        <f>"9780071666664"</f>
        <v>9780071666664</v>
      </c>
      <c r="C343" s="2" t="s">
        <v>1181</v>
      </c>
      <c r="D343" s="2" t="s">
        <v>1182</v>
      </c>
      <c r="E343" s="2" t="s">
        <v>13</v>
      </c>
      <c r="F343" s="2">
        <v>2011</v>
      </c>
      <c r="G343" s="3">
        <v>41670</v>
      </c>
      <c r="H343" s="2" t="s">
        <v>1183</v>
      </c>
      <c r="I343" s="2" t="s">
        <v>44</v>
      </c>
      <c r="J343" s="2" t="s">
        <v>1184</v>
      </c>
    </row>
    <row r="344" spans="1:10" x14ac:dyDescent="0.25">
      <c r="A344" s="2" t="s">
        <v>10</v>
      </c>
      <c r="B344" s="2" t="str">
        <f>"9780071622974"</f>
        <v>9780071622974</v>
      </c>
      <c r="C344" s="2" t="s">
        <v>1185</v>
      </c>
      <c r="D344" s="2" t="s">
        <v>1186</v>
      </c>
      <c r="E344" s="2" t="s">
        <v>13</v>
      </c>
      <c r="F344" s="2">
        <v>2010</v>
      </c>
      <c r="G344" s="3">
        <v>41793</v>
      </c>
      <c r="H344" s="2" t="s">
        <v>1187</v>
      </c>
      <c r="I344" s="2" t="s">
        <v>15</v>
      </c>
      <c r="J344" s="2" t="s">
        <v>1188</v>
      </c>
    </row>
    <row r="345" spans="1:10" hidden="1" x14ac:dyDescent="0.25">
      <c r="A345" s="2" t="s">
        <v>10</v>
      </c>
      <c r="B345" s="2" t="str">
        <f>"9780071638371"</f>
        <v>9780071638371</v>
      </c>
      <c r="C345" s="2" t="s">
        <v>1189</v>
      </c>
      <c r="D345" s="2" t="s">
        <v>1190</v>
      </c>
      <c r="E345" s="2" t="s">
        <v>13</v>
      </c>
      <c r="F345" s="2">
        <v>2011</v>
      </c>
      <c r="G345" s="3">
        <v>41635</v>
      </c>
      <c r="I345" s="2" t="s">
        <v>44</v>
      </c>
      <c r="J345" s="2" t="s">
        <v>1191</v>
      </c>
    </row>
    <row r="346" spans="1:10" hidden="1" x14ac:dyDescent="0.25">
      <c r="A346" s="2" t="s">
        <v>10</v>
      </c>
      <c r="B346" s="2" t="str">
        <f>"9780071625074"</f>
        <v>9780071625074</v>
      </c>
      <c r="C346" s="2" t="s">
        <v>1192</v>
      </c>
      <c r="D346" s="2" t="s">
        <v>1193</v>
      </c>
      <c r="E346" s="2" t="s">
        <v>13</v>
      </c>
      <c r="F346" s="2">
        <v>2010</v>
      </c>
      <c r="G346" s="3">
        <v>40909</v>
      </c>
      <c r="I346" s="2" t="s">
        <v>44</v>
      </c>
      <c r="J346" s="2" t="s">
        <v>1194</v>
      </c>
    </row>
    <row r="347" spans="1:10" hidden="1" x14ac:dyDescent="0.25">
      <c r="A347" s="2" t="s">
        <v>10</v>
      </c>
      <c r="B347" s="2" t="str">
        <f>"9780071626750"</f>
        <v>9780071626750</v>
      </c>
      <c r="C347" s="2" t="s">
        <v>1195</v>
      </c>
      <c r="D347" s="2" t="s">
        <v>1196</v>
      </c>
      <c r="E347" s="2" t="s">
        <v>13</v>
      </c>
      <c r="F347" s="2">
        <v>2010</v>
      </c>
      <c r="G347" s="3">
        <v>40909</v>
      </c>
      <c r="I347" s="2" t="s">
        <v>44</v>
      </c>
      <c r="J347" s="2" t="s">
        <v>1197</v>
      </c>
    </row>
    <row r="348" spans="1:10" x14ac:dyDescent="0.25">
      <c r="A348" s="2" t="s">
        <v>10</v>
      </c>
      <c r="B348" s="2" t="str">
        <f>"9780071622318"</f>
        <v>9780071622318</v>
      </c>
      <c r="C348" s="2" t="s">
        <v>1198</v>
      </c>
      <c r="D348" s="2" t="s">
        <v>1199</v>
      </c>
      <c r="E348" s="2" t="s">
        <v>13</v>
      </c>
      <c r="F348" s="2">
        <v>2009</v>
      </c>
      <c r="G348" s="3">
        <v>40909</v>
      </c>
      <c r="H348" s="2" t="s">
        <v>1200</v>
      </c>
      <c r="I348" s="2" t="s">
        <v>15</v>
      </c>
      <c r="J348" s="2" t="s">
        <v>1201</v>
      </c>
    </row>
    <row r="349" spans="1:10" x14ac:dyDescent="0.25">
      <c r="A349" s="2" t="s">
        <v>10</v>
      </c>
      <c r="B349" s="2" t="str">
        <f>"9780071701884"</f>
        <v>9780071701884</v>
      </c>
      <c r="C349" s="2" t="s">
        <v>1202</v>
      </c>
      <c r="D349" s="2" t="s">
        <v>1203</v>
      </c>
      <c r="E349" s="2" t="s">
        <v>13</v>
      </c>
      <c r="F349" s="2">
        <v>2010</v>
      </c>
      <c r="G349" s="3">
        <v>40909</v>
      </c>
      <c r="H349" s="2" t="s">
        <v>1204</v>
      </c>
      <c r="I349" s="2" t="s">
        <v>15</v>
      </c>
      <c r="J349" s="2" t="s">
        <v>1205</v>
      </c>
    </row>
    <row r="350" spans="1:10" x14ac:dyDescent="0.25">
      <c r="A350" s="2" t="s">
        <v>10</v>
      </c>
      <c r="B350" s="2" t="str">
        <f>"9780071665544"</f>
        <v>9780071665544</v>
      </c>
      <c r="C350" s="2" t="s">
        <v>1206</v>
      </c>
      <c r="D350" s="2" t="s">
        <v>1207</v>
      </c>
      <c r="E350" s="2" t="s">
        <v>13</v>
      </c>
      <c r="F350" s="2">
        <v>2010</v>
      </c>
      <c r="G350" s="3">
        <v>41311</v>
      </c>
      <c r="H350" s="2" t="s">
        <v>734</v>
      </c>
      <c r="I350" s="2" t="s">
        <v>15</v>
      </c>
      <c r="J350" s="2" t="s">
        <v>1208</v>
      </c>
    </row>
    <row r="351" spans="1:10" x14ac:dyDescent="0.25">
      <c r="A351" s="2" t="s">
        <v>10</v>
      </c>
      <c r="B351" s="2" t="str">
        <f>"9780071632409"</f>
        <v>9780071632409</v>
      </c>
      <c r="C351" s="2" t="s">
        <v>1209</v>
      </c>
      <c r="D351" s="2" t="s">
        <v>1210</v>
      </c>
      <c r="E351" s="2" t="s">
        <v>13</v>
      </c>
      <c r="F351" s="2">
        <v>2010</v>
      </c>
      <c r="G351" s="3">
        <v>40909</v>
      </c>
      <c r="H351" s="2" t="s">
        <v>1211</v>
      </c>
      <c r="I351" s="2" t="s">
        <v>15</v>
      </c>
      <c r="J351" s="2" t="s">
        <v>1212</v>
      </c>
    </row>
    <row r="352" spans="1:10" x14ac:dyDescent="0.25">
      <c r="A352" s="2" t="s">
        <v>10</v>
      </c>
      <c r="B352" s="2" t="str">
        <f>"9780071636087"</f>
        <v>9780071636087</v>
      </c>
      <c r="C352" s="2" t="s">
        <v>1213</v>
      </c>
      <c r="D352" s="2" t="s">
        <v>1214</v>
      </c>
      <c r="E352" s="2" t="s">
        <v>13</v>
      </c>
      <c r="F352" s="2">
        <v>2010</v>
      </c>
      <c r="G352" s="3">
        <v>41622</v>
      </c>
      <c r="H352" s="2" t="s">
        <v>344</v>
      </c>
      <c r="I352" s="2" t="s">
        <v>15</v>
      </c>
      <c r="J352" s="2" t="s">
        <v>1215</v>
      </c>
    </row>
    <row r="353" spans="1:10" x14ac:dyDescent="0.25">
      <c r="A353" s="2" t="s">
        <v>10</v>
      </c>
      <c r="B353" s="2" t="str">
        <f>"9780071633130"</f>
        <v>9780071633130</v>
      </c>
      <c r="C353" s="2" t="s">
        <v>1216</v>
      </c>
      <c r="D353" s="2" t="s">
        <v>837</v>
      </c>
      <c r="E353" s="2" t="s">
        <v>13</v>
      </c>
      <c r="F353" s="2">
        <v>2010</v>
      </c>
      <c r="G353" s="3">
        <v>41248</v>
      </c>
      <c r="H353" s="2" t="s">
        <v>580</v>
      </c>
      <c r="I353" s="2" t="s">
        <v>15</v>
      </c>
      <c r="J353" s="2" t="s">
        <v>1217</v>
      </c>
    </row>
    <row r="354" spans="1:10" x14ac:dyDescent="0.25">
      <c r="A354" s="2" t="s">
        <v>10</v>
      </c>
      <c r="B354" s="2" t="str">
        <f>"9780071638326"</f>
        <v>9780071638326</v>
      </c>
      <c r="C354" s="2" t="s">
        <v>1218</v>
      </c>
      <c r="D354" s="2" t="s">
        <v>1011</v>
      </c>
      <c r="E354" s="2" t="s">
        <v>13</v>
      </c>
      <c r="F354" s="2">
        <v>2010</v>
      </c>
      <c r="G354" s="3">
        <v>40909</v>
      </c>
      <c r="H354" s="2" t="s">
        <v>1012</v>
      </c>
      <c r="I354" s="2" t="s">
        <v>15</v>
      </c>
      <c r="J354" s="2" t="s">
        <v>1219</v>
      </c>
    </row>
    <row r="355" spans="1:10" x14ac:dyDescent="0.25">
      <c r="A355" s="2" t="s">
        <v>10</v>
      </c>
      <c r="B355" s="2" t="str">
        <f>"9780071623261"</f>
        <v>9780071623261</v>
      </c>
      <c r="C355" s="2" t="s">
        <v>1220</v>
      </c>
      <c r="D355" s="2" t="s">
        <v>1221</v>
      </c>
      <c r="E355" s="2" t="s">
        <v>13</v>
      </c>
      <c r="F355" s="2">
        <v>2010</v>
      </c>
      <c r="G355" s="3">
        <v>40933</v>
      </c>
      <c r="H355" s="2" t="s">
        <v>639</v>
      </c>
      <c r="I355" s="2" t="s">
        <v>15</v>
      </c>
      <c r="J355" s="2" t="s">
        <v>1222</v>
      </c>
    </row>
    <row r="356" spans="1:10" x14ac:dyDescent="0.25">
      <c r="A356" s="2" t="s">
        <v>10</v>
      </c>
      <c r="B356" s="2" t="str">
        <f>"9780071635745"</f>
        <v>9780071635745</v>
      </c>
      <c r="C356" s="2" t="s">
        <v>1223</v>
      </c>
      <c r="D356" s="2" t="s">
        <v>1224</v>
      </c>
      <c r="E356" s="2" t="s">
        <v>13</v>
      </c>
      <c r="F356" s="2">
        <v>2011</v>
      </c>
      <c r="G356" s="3">
        <v>41257</v>
      </c>
      <c r="H356" s="2" t="s">
        <v>1225</v>
      </c>
      <c r="I356" s="2" t="s">
        <v>15</v>
      </c>
      <c r="J356" s="2" t="s">
        <v>1226</v>
      </c>
    </row>
    <row r="357" spans="1:10" x14ac:dyDescent="0.25">
      <c r="A357" s="2" t="s">
        <v>10</v>
      </c>
      <c r="B357" s="2" t="str">
        <f>"9780071700269"</f>
        <v>9780071700269</v>
      </c>
      <c r="C357" s="2" t="s">
        <v>1227</v>
      </c>
      <c r="D357" s="2" t="s">
        <v>1228</v>
      </c>
      <c r="E357" s="2" t="s">
        <v>13</v>
      </c>
      <c r="F357" s="2">
        <v>2012</v>
      </c>
      <c r="G357" s="3">
        <v>41408</v>
      </c>
      <c r="H357" s="2" t="s">
        <v>1229</v>
      </c>
      <c r="I357" s="2" t="s">
        <v>15</v>
      </c>
      <c r="J357" s="2" t="s">
        <v>1230</v>
      </c>
    </row>
    <row r="358" spans="1:10" x14ac:dyDescent="0.25">
      <c r="A358" s="2" t="s">
        <v>10</v>
      </c>
      <c r="B358" s="2" t="str">
        <f>"9780071622875"</f>
        <v>9780071622875</v>
      </c>
      <c r="C358" s="2" t="s">
        <v>1231</v>
      </c>
      <c r="D358" s="2" t="s">
        <v>1232</v>
      </c>
      <c r="E358" s="2" t="s">
        <v>13</v>
      </c>
      <c r="F358" s="2">
        <v>2011</v>
      </c>
      <c r="G358" s="3">
        <v>40909</v>
      </c>
      <c r="H358" s="2" t="s">
        <v>1233</v>
      </c>
      <c r="I358" s="2" t="s">
        <v>15</v>
      </c>
      <c r="J358" s="2" t="s">
        <v>1234</v>
      </c>
    </row>
    <row r="359" spans="1:10" hidden="1" x14ac:dyDescent="0.25">
      <c r="A359" s="2" t="s">
        <v>10</v>
      </c>
      <c r="B359" s="2" t="str">
        <f>"9780071621618"</f>
        <v>9780071621618</v>
      </c>
      <c r="C359" s="2" t="s">
        <v>1235</v>
      </c>
      <c r="D359" s="2" t="s">
        <v>903</v>
      </c>
      <c r="E359" s="2" t="s">
        <v>13</v>
      </c>
      <c r="F359" s="2">
        <v>2010</v>
      </c>
      <c r="G359" s="3">
        <v>40909</v>
      </c>
      <c r="I359" s="2" t="s">
        <v>44</v>
      </c>
      <c r="J359" s="2" t="s">
        <v>1236</v>
      </c>
    </row>
    <row r="360" spans="1:10" x14ac:dyDescent="0.25">
      <c r="A360" s="2" t="s">
        <v>10</v>
      </c>
      <c r="B360" s="2" t="str">
        <f>"9780071623834"</f>
        <v>9780071623834</v>
      </c>
      <c r="C360" s="2" t="s">
        <v>1237</v>
      </c>
      <c r="D360" s="2" t="s">
        <v>1238</v>
      </c>
      <c r="E360" s="2" t="s">
        <v>13</v>
      </c>
      <c r="F360" s="2">
        <v>2009</v>
      </c>
      <c r="G360" s="3">
        <v>40909</v>
      </c>
      <c r="H360" s="2" t="s">
        <v>1239</v>
      </c>
      <c r="I360" s="2" t="s">
        <v>15</v>
      </c>
      <c r="J360" s="2" t="s">
        <v>1240</v>
      </c>
    </row>
    <row r="361" spans="1:10" hidden="1" x14ac:dyDescent="0.25">
      <c r="A361" s="2" t="s">
        <v>10</v>
      </c>
      <c r="B361" s="2" t="str">
        <f>"9780071635196"</f>
        <v>9780071635196</v>
      </c>
      <c r="C361" s="2" t="s">
        <v>1241</v>
      </c>
      <c r="D361" s="2" t="s">
        <v>1242</v>
      </c>
      <c r="E361" s="2" t="s">
        <v>13</v>
      </c>
      <c r="F361" s="2">
        <v>2010</v>
      </c>
      <c r="G361" s="3">
        <v>40909</v>
      </c>
      <c r="I361" s="2" t="s">
        <v>44</v>
      </c>
      <c r="J361" s="2" t="s">
        <v>1243</v>
      </c>
    </row>
    <row r="362" spans="1:10" x14ac:dyDescent="0.25">
      <c r="A362" s="2" t="s">
        <v>10</v>
      </c>
      <c r="B362" s="2" t="str">
        <f>"9780071668088"</f>
        <v>9780071668088</v>
      </c>
      <c r="C362" s="2" t="s">
        <v>1244</v>
      </c>
      <c r="D362" s="2" t="s">
        <v>1245</v>
      </c>
      <c r="E362" s="2" t="s">
        <v>13</v>
      </c>
      <c r="F362" s="2">
        <v>2010</v>
      </c>
      <c r="G362" s="3">
        <v>41622</v>
      </c>
      <c r="H362" s="2" t="s">
        <v>281</v>
      </c>
      <c r="I362" s="2" t="s">
        <v>15</v>
      </c>
      <c r="J362" s="2" t="s">
        <v>1246</v>
      </c>
    </row>
    <row r="363" spans="1:10" x14ac:dyDescent="0.25">
      <c r="A363" s="2" t="s">
        <v>10</v>
      </c>
      <c r="B363" s="2" t="str">
        <f>"9780071626231"</f>
        <v>9780071626231</v>
      </c>
      <c r="C363" s="2" t="s">
        <v>1247</v>
      </c>
      <c r="D363" s="2" t="s">
        <v>389</v>
      </c>
      <c r="E363" s="2" t="s">
        <v>13</v>
      </c>
      <c r="F363" s="2">
        <v>2010</v>
      </c>
      <c r="G363" s="3">
        <v>40909</v>
      </c>
      <c r="H363" s="2" t="s">
        <v>1248</v>
      </c>
      <c r="I363" s="2" t="s">
        <v>15</v>
      </c>
      <c r="J363" s="2" t="s">
        <v>1249</v>
      </c>
    </row>
    <row r="364" spans="1:10" x14ac:dyDescent="0.25">
      <c r="A364" s="2" t="s">
        <v>10</v>
      </c>
      <c r="B364" s="2" t="str">
        <f>"9780071625012"</f>
        <v>9780071625012</v>
      </c>
      <c r="C364" s="2" t="s">
        <v>1250</v>
      </c>
      <c r="D364" s="2" t="s">
        <v>1251</v>
      </c>
      <c r="E364" s="2" t="s">
        <v>13</v>
      </c>
      <c r="F364" s="2">
        <v>2010</v>
      </c>
      <c r="G364" s="3">
        <v>40909</v>
      </c>
      <c r="H364" s="2" t="s">
        <v>1252</v>
      </c>
      <c r="I364" s="2" t="s">
        <v>15</v>
      </c>
      <c r="J364" s="2" t="s">
        <v>1253</v>
      </c>
    </row>
    <row r="365" spans="1:10" x14ac:dyDescent="0.25">
      <c r="A365" s="2" t="s">
        <v>10</v>
      </c>
      <c r="B365" s="2" t="str">
        <f>"9780071702874"</f>
        <v>9780071702874</v>
      </c>
      <c r="C365" s="2" t="s">
        <v>1254</v>
      </c>
      <c r="D365" s="2" t="s">
        <v>1255</v>
      </c>
      <c r="E365" s="2" t="s">
        <v>13</v>
      </c>
      <c r="F365" s="2">
        <v>2016</v>
      </c>
      <c r="G365" s="3">
        <v>42613</v>
      </c>
      <c r="H365" s="2" t="s">
        <v>1256</v>
      </c>
      <c r="I365" s="2" t="s">
        <v>15</v>
      </c>
      <c r="J365" s="2" t="s">
        <v>1257</v>
      </c>
    </row>
    <row r="366" spans="1:10" x14ac:dyDescent="0.25">
      <c r="A366" s="2" t="s">
        <v>10</v>
      </c>
      <c r="B366" s="2" t="str">
        <f>"9780071639583"</f>
        <v>9780071639583</v>
      </c>
      <c r="C366" s="2" t="s">
        <v>1258</v>
      </c>
      <c r="D366" s="2" t="s">
        <v>465</v>
      </c>
      <c r="E366" s="2" t="s">
        <v>13</v>
      </c>
      <c r="F366" s="2">
        <v>2012</v>
      </c>
      <c r="G366" s="3">
        <v>41670</v>
      </c>
      <c r="H366" s="2" t="s">
        <v>900</v>
      </c>
      <c r="I366" s="2" t="s">
        <v>15</v>
      </c>
      <c r="J366" s="2" t="s">
        <v>1259</v>
      </c>
    </row>
    <row r="367" spans="1:10" hidden="1" x14ac:dyDescent="0.25">
      <c r="A367" s="2" t="s">
        <v>10</v>
      </c>
      <c r="B367" s="2" t="str">
        <f>"9780071624213"</f>
        <v>9780071624213</v>
      </c>
      <c r="C367" s="2" t="s">
        <v>1260</v>
      </c>
      <c r="D367" s="2" t="s">
        <v>1261</v>
      </c>
      <c r="E367" s="2" t="s">
        <v>13</v>
      </c>
      <c r="F367" s="2">
        <v>2011</v>
      </c>
      <c r="G367" s="3">
        <v>40909</v>
      </c>
      <c r="I367" s="2" t="s">
        <v>44</v>
      </c>
      <c r="J367" s="2" t="s">
        <v>1262</v>
      </c>
    </row>
    <row r="368" spans="1:10" x14ac:dyDescent="0.25">
      <c r="A368" s="2" t="s">
        <v>10</v>
      </c>
      <c r="B368" s="2" t="str">
        <f>"9780071630115"</f>
        <v>9780071630115</v>
      </c>
      <c r="C368" s="2" t="s">
        <v>1263</v>
      </c>
      <c r="D368" s="2" t="s">
        <v>1264</v>
      </c>
      <c r="E368" s="2" t="s">
        <v>13</v>
      </c>
      <c r="F368" s="2">
        <v>2011</v>
      </c>
      <c r="G368" s="3">
        <v>40909</v>
      </c>
      <c r="H368" s="2" t="s">
        <v>1265</v>
      </c>
      <c r="I368" s="2" t="s">
        <v>15</v>
      </c>
      <c r="J368" s="2" t="s">
        <v>1266</v>
      </c>
    </row>
    <row r="369" spans="1:10" x14ac:dyDescent="0.25">
      <c r="A369" s="2" t="s">
        <v>10</v>
      </c>
      <c r="B369" s="2" t="str">
        <f>"9780071663977"</f>
        <v>9780071663977</v>
      </c>
      <c r="C369" s="2" t="s">
        <v>1267</v>
      </c>
      <c r="D369" s="2" t="s">
        <v>1008</v>
      </c>
      <c r="E369" s="2" t="s">
        <v>13</v>
      </c>
      <c r="F369" s="2">
        <v>2010</v>
      </c>
      <c r="G369" s="3">
        <v>40909</v>
      </c>
      <c r="H369" s="2" t="s">
        <v>1268</v>
      </c>
      <c r="I369" s="2" t="s">
        <v>15</v>
      </c>
      <c r="J369" s="2" t="s">
        <v>1269</v>
      </c>
    </row>
    <row r="370" spans="1:10" x14ac:dyDescent="0.25">
      <c r="A370" s="2" t="s">
        <v>10</v>
      </c>
      <c r="B370" s="2" t="str">
        <f>"9780071635721"</f>
        <v>9780071635721</v>
      </c>
      <c r="C370" s="2" t="s">
        <v>1270</v>
      </c>
      <c r="D370" s="2" t="s">
        <v>1271</v>
      </c>
      <c r="E370" s="2" t="s">
        <v>13</v>
      </c>
      <c r="F370" s="2">
        <v>2010</v>
      </c>
      <c r="G370" s="3">
        <v>40909</v>
      </c>
      <c r="H370" s="2" t="s">
        <v>639</v>
      </c>
      <c r="I370" s="2" t="s">
        <v>15</v>
      </c>
      <c r="J370" s="2" t="s">
        <v>1272</v>
      </c>
    </row>
    <row r="371" spans="1:10" hidden="1" x14ac:dyDescent="0.25">
      <c r="A371" s="2" t="s">
        <v>10</v>
      </c>
      <c r="B371" s="2" t="str">
        <f>"9780071638302"</f>
        <v>9780071638302</v>
      </c>
      <c r="C371" s="2" t="s">
        <v>1273</v>
      </c>
      <c r="D371" s="2" t="s">
        <v>1274</v>
      </c>
      <c r="E371" s="2" t="s">
        <v>13</v>
      </c>
      <c r="F371" s="2">
        <v>2010</v>
      </c>
      <c r="G371" s="3">
        <v>40909</v>
      </c>
      <c r="I371" s="2" t="s">
        <v>44</v>
      </c>
      <c r="J371" s="2" t="s">
        <v>1275</v>
      </c>
    </row>
    <row r="372" spans="1:10" x14ac:dyDescent="0.25">
      <c r="A372" s="2" t="s">
        <v>10</v>
      </c>
      <c r="B372" s="2" t="str">
        <f>"9780071622479"</f>
        <v>9780071622479</v>
      </c>
      <c r="C372" s="2" t="s">
        <v>1276</v>
      </c>
      <c r="D372" s="2" t="s">
        <v>1277</v>
      </c>
      <c r="E372" s="2" t="s">
        <v>13</v>
      </c>
      <c r="F372" s="2">
        <v>2010</v>
      </c>
      <c r="G372" s="3">
        <v>40909</v>
      </c>
      <c r="H372" s="2" t="s">
        <v>589</v>
      </c>
      <c r="I372" s="2" t="s">
        <v>15</v>
      </c>
      <c r="J372" s="2" t="s">
        <v>1278</v>
      </c>
    </row>
    <row r="373" spans="1:10" x14ac:dyDescent="0.25">
      <c r="A373" s="2" t="s">
        <v>10</v>
      </c>
      <c r="B373" s="2" t="str">
        <f>"9780071700450"</f>
        <v>9780071700450</v>
      </c>
      <c r="C373" s="2" t="s">
        <v>1279</v>
      </c>
      <c r="D373" s="2" t="s">
        <v>1280</v>
      </c>
      <c r="E373" s="2" t="s">
        <v>13</v>
      </c>
      <c r="F373" s="2">
        <v>2010</v>
      </c>
      <c r="G373" s="3">
        <v>41622</v>
      </c>
      <c r="H373" s="2" t="s">
        <v>281</v>
      </c>
      <c r="I373" s="2" t="s">
        <v>15</v>
      </c>
      <c r="J373" s="2" t="s">
        <v>1281</v>
      </c>
    </row>
    <row r="374" spans="1:10" hidden="1" x14ac:dyDescent="0.25">
      <c r="A374" s="2" t="s">
        <v>10</v>
      </c>
      <c r="B374" s="2" t="str">
        <f>"9780071635080"</f>
        <v>9780071635080</v>
      </c>
      <c r="C374" s="2" t="s">
        <v>1282</v>
      </c>
      <c r="D374" s="2" t="s">
        <v>1283</v>
      </c>
      <c r="E374" s="2" t="s">
        <v>13</v>
      </c>
      <c r="F374" s="2">
        <v>2011</v>
      </c>
      <c r="G374" s="3">
        <v>40910</v>
      </c>
      <c r="I374" s="2" t="s">
        <v>44</v>
      </c>
      <c r="J374" s="2" t="s">
        <v>1284</v>
      </c>
    </row>
    <row r="375" spans="1:10" hidden="1" x14ac:dyDescent="0.25">
      <c r="A375" s="2" t="s">
        <v>10</v>
      </c>
      <c r="B375" s="2" t="str">
        <f>"9780071623384"</f>
        <v>9780071623384</v>
      </c>
      <c r="C375" s="2" t="s">
        <v>1285</v>
      </c>
      <c r="D375" s="2" t="s">
        <v>1286</v>
      </c>
      <c r="E375" s="2" t="s">
        <v>13</v>
      </c>
      <c r="F375" s="2">
        <v>2010</v>
      </c>
      <c r="G375" s="3">
        <v>41240</v>
      </c>
      <c r="I375" s="2" t="s">
        <v>44</v>
      </c>
      <c r="J375" s="2" t="s">
        <v>1287</v>
      </c>
    </row>
    <row r="376" spans="1:10" x14ac:dyDescent="0.25">
      <c r="A376" s="2" t="s">
        <v>10</v>
      </c>
      <c r="B376" s="2" t="str">
        <f>"9780071623667"</f>
        <v>9780071623667</v>
      </c>
      <c r="C376" s="2" t="s">
        <v>1288</v>
      </c>
      <c r="D376" s="2" t="s">
        <v>1289</v>
      </c>
      <c r="E376" s="2" t="s">
        <v>13</v>
      </c>
      <c r="F376" s="2">
        <v>2010</v>
      </c>
      <c r="G376" s="3">
        <v>40910</v>
      </c>
      <c r="H376" s="2" t="s">
        <v>1290</v>
      </c>
      <c r="I376" s="2" t="s">
        <v>15</v>
      </c>
      <c r="J376" s="2" t="s">
        <v>1291</v>
      </c>
    </row>
    <row r="377" spans="1:10" hidden="1" x14ac:dyDescent="0.25">
      <c r="A377" s="2" t="s">
        <v>10</v>
      </c>
      <c r="B377" s="2" t="str">
        <f>"9780071636643"</f>
        <v>9780071636643</v>
      </c>
      <c r="C377" s="2" t="s">
        <v>1292</v>
      </c>
      <c r="D377" s="2" t="s">
        <v>1293</v>
      </c>
      <c r="E377" s="2" t="s">
        <v>13</v>
      </c>
      <c r="F377" s="2">
        <v>2010</v>
      </c>
      <c r="G377" s="3">
        <v>40909</v>
      </c>
      <c r="I377" s="2" t="s">
        <v>44</v>
      </c>
      <c r="J377" s="2" t="s">
        <v>1294</v>
      </c>
    </row>
    <row r="378" spans="1:10" x14ac:dyDescent="0.25">
      <c r="A378" s="2" t="s">
        <v>10</v>
      </c>
      <c r="B378" s="2" t="str">
        <f>"9780071701266"</f>
        <v>9780071701266</v>
      </c>
      <c r="C378" s="2" t="s">
        <v>1295</v>
      </c>
      <c r="D378" s="2" t="s">
        <v>1296</v>
      </c>
      <c r="E378" s="2" t="s">
        <v>13</v>
      </c>
      <c r="F378" s="2">
        <v>2012</v>
      </c>
      <c r="G378" s="3">
        <v>41303</v>
      </c>
      <c r="H378" s="2" t="s">
        <v>1297</v>
      </c>
      <c r="I378" s="2" t="s">
        <v>15</v>
      </c>
      <c r="J378" s="2" t="s">
        <v>1298</v>
      </c>
    </row>
    <row r="379" spans="1:10" x14ac:dyDescent="0.25">
      <c r="A379" s="2" t="s">
        <v>10</v>
      </c>
      <c r="B379" s="2" t="str">
        <f>"9780071630054"</f>
        <v>9780071630054</v>
      </c>
      <c r="C379" s="2" t="s">
        <v>1299</v>
      </c>
      <c r="D379" s="2" t="s">
        <v>1300</v>
      </c>
      <c r="E379" s="2" t="s">
        <v>13</v>
      </c>
      <c r="F379" s="2">
        <v>2011</v>
      </c>
      <c r="G379" s="3">
        <v>40909</v>
      </c>
      <c r="H379" s="2" t="s">
        <v>1301</v>
      </c>
      <c r="I379" s="2" t="s">
        <v>15</v>
      </c>
      <c r="J379" s="2" t="s">
        <v>1302</v>
      </c>
    </row>
    <row r="380" spans="1:10" x14ac:dyDescent="0.25">
      <c r="A380" s="2" t="s">
        <v>10</v>
      </c>
      <c r="B380" s="2" t="str">
        <f>"9780071624084"</f>
        <v>9780071624084</v>
      </c>
      <c r="C380" s="2" t="s">
        <v>1303</v>
      </c>
      <c r="D380" s="2" t="s">
        <v>1304</v>
      </c>
      <c r="E380" s="2" t="s">
        <v>13</v>
      </c>
      <c r="F380" s="2">
        <v>2010</v>
      </c>
      <c r="G380" s="3">
        <v>40909</v>
      </c>
      <c r="H380" s="2" t="s">
        <v>1305</v>
      </c>
      <c r="I380" s="2" t="s">
        <v>15</v>
      </c>
      <c r="J380" s="2" t="s">
        <v>1306</v>
      </c>
    </row>
    <row r="381" spans="1:10" x14ac:dyDescent="0.25">
      <c r="A381" s="2" t="s">
        <v>10</v>
      </c>
      <c r="B381" s="2" t="str">
        <f>"9780071633512"</f>
        <v>9780071633512</v>
      </c>
      <c r="C381" s="2" t="s">
        <v>1307</v>
      </c>
      <c r="D381" s="2" t="s">
        <v>1015</v>
      </c>
      <c r="E381" s="2" t="s">
        <v>13</v>
      </c>
      <c r="F381" s="2">
        <v>2009</v>
      </c>
      <c r="G381" s="3">
        <v>40909</v>
      </c>
      <c r="H381" s="2" t="s">
        <v>853</v>
      </c>
      <c r="I381" s="2" t="s">
        <v>15</v>
      </c>
      <c r="J381" s="2" t="s">
        <v>1308</v>
      </c>
    </row>
    <row r="382" spans="1:10" x14ac:dyDescent="0.25">
      <c r="A382" s="2" t="s">
        <v>10</v>
      </c>
      <c r="B382" s="2" t="str">
        <f>"9780071623582"</f>
        <v>9780071623582</v>
      </c>
      <c r="C382" s="2" t="s">
        <v>1309</v>
      </c>
      <c r="D382" s="2" t="s">
        <v>1310</v>
      </c>
      <c r="E382" s="2" t="s">
        <v>13</v>
      </c>
      <c r="F382" s="2">
        <v>2010</v>
      </c>
      <c r="G382" s="3">
        <v>40909</v>
      </c>
      <c r="H382" s="2" t="s">
        <v>1069</v>
      </c>
      <c r="I382" s="2" t="s">
        <v>15</v>
      </c>
      <c r="J382" s="2" t="s">
        <v>1311</v>
      </c>
    </row>
    <row r="383" spans="1:10" x14ac:dyDescent="0.25">
      <c r="A383" s="2" t="s">
        <v>10</v>
      </c>
      <c r="B383" s="2" t="str">
        <f>"9780071621830"</f>
        <v>9780071621830</v>
      </c>
      <c r="C383" s="2" t="s">
        <v>1312</v>
      </c>
      <c r="D383" s="2" t="s">
        <v>1313</v>
      </c>
      <c r="E383" s="2" t="s">
        <v>13</v>
      </c>
      <c r="F383" s="2">
        <v>2010</v>
      </c>
      <c r="G383" s="3">
        <v>40909</v>
      </c>
      <c r="H383" s="2" t="s">
        <v>734</v>
      </c>
      <c r="I383" s="2" t="s">
        <v>15</v>
      </c>
      <c r="J383" s="2" t="s">
        <v>1314</v>
      </c>
    </row>
    <row r="384" spans="1:10" x14ac:dyDescent="0.25">
      <c r="A384" s="2" t="s">
        <v>10</v>
      </c>
      <c r="B384" s="2" t="str">
        <f>"9780071663427"</f>
        <v>9780071663427</v>
      </c>
      <c r="C384" s="2" t="s">
        <v>1315</v>
      </c>
      <c r="D384" s="2" t="s">
        <v>1316</v>
      </c>
      <c r="E384" s="2" t="s">
        <v>13</v>
      </c>
      <c r="F384" s="2">
        <v>2011</v>
      </c>
      <c r="G384" s="3">
        <v>41239</v>
      </c>
      <c r="H384" s="2" t="s">
        <v>373</v>
      </c>
      <c r="I384" s="2" t="s">
        <v>15</v>
      </c>
      <c r="J384" s="2" t="s">
        <v>1317</v>
      </c>
    </row>
    <row r="385" spans="1:10" x14ac:dyDescent="0.25">
      <c r="A385" s="2" t="s">
        <v>10</v>
      </c>
      <c r="B385" s="2" t="str">
        <f>"9780071666633"</f>
        <v>9780071666633</v>
      </c>
      <c r="C385" s="2" t="s">
        <v>1318</v>
      </c>
      <c r="D385" s="2" t="s">
        <v>634</v>
      </c>
      <c r="E385" s="2" t="s">
        <v>13</v>
      </c>
      <c r="F385" s="2">
        <v>2010</v>
      </c>
      <c r="G385" s="3">
        <v>40909</v>
      </c>
      <c r="H385" s="2" t="s">
        <v>1319</v>
      </c>
      <c r="I385" s="2" t="s">
        <v>15</v>
      </c>
      <c r="J385" s="2" t="s">
        <v>1320</v>
      </c>
    </row>
    <row r="386" spans="1:10" x14ac:dyDescent="0.25">
      <c r="A386" s="2" t="s">
        <v>10</v>
      </c>
      <c r="B386" s="2" t="str">
        <f>"9780071622837"</f>
        <v>9780071622837</v>
      </c>
      <c r="C386" s="2" t="s">
        <v>1321</v>
      </c>
      <c r="D386" s="2" t="s">
        <v>1322</v>
      </c>
      <c r="E386" s="2" t="s">
        <v>13</v>
      </c>
      <c r="F386" s="2">
        <v>2011</v>
      </c>
      <c r="G386" s="3">
        <v>41311</v>
      </c>
      <c r="H386" s="2" t="s">
        <v>1323</v>
      </c>
      <c r="I386" s="2" t="s">
        <v>15</v>
      </c>
      <c r="J386" s="2" t="s">
        <v>1324</v>
      </c>
    </row>
    <row r="387" spans="1:10" hidden="1" x14ac:dyDescent="0.25">
      <c r="A387" s="2" t="s">
        <v>10</v>
      </c>
      <c r="B387" s="2" t="str">
        <f>"9780071625098"</f>
        <v>9780071625098</v>
      </c>
      <c r="C387" s="2" t="s">
        <v>1325</v>
      </c>
      <c r="D387" s="2" t="s">
        <v>1326</v>
      </c>
      <c r="E387" s="2" t="s">
        <v>13</v>
      </c>
      <c r="F387" s="2">
        <v>2010</v>
      </c>
      <c r="G387" s="3">
        <v>40909</v>
      </c>
      <c r="I387" s="2" t="s">
        <v>44</v>
      </c>
      <c r="J387" s="2" t="s">
        <v>1327</v>
      </c>
    </row>
    <row r="388" spans="1:10" x14ac:dyDescent="0.25">
      <c r="A388" s="2" t="s">
        <v>10</v>
      </c>
      <c r="B388" s="2" t="str">
        <f>"9780071639620"</f>
        <v>9780071639620</v>
      </c>
      <c r="C388" s="2" t="s">
        <v>1328</v>
      </c>
      <c r="D388" s="2" t="s">
        <v>1329</v>
      </c>
      <c r="E388" s="2" t="s">
        <v>13</v>
      </c>
      <c r="F388" s="2">
        <v>2010</v>
      </c>
      <c r="G388" s="3">
        <v>40909</v>
      </c>
      <c r="H388" s="2" t="s">
        <v>1330</v>
      </c>
      <c r="I388" s="2" t="s">
        <v>15</v>
      </c>
      <c r="J388" s="2" t="s">
        <v>1331</v>
      </c>
    </row>
    <row r="389" spans="1:10" hidden="1" x14ac:dyDescent="0.25">
      <c r="A389" s="2" t="s">
        <v>10</v>
      </c>
      <c r="B389" s="2" t="str">
        <f>"9780071629737"</f>
        <v>9780071629737</v>
      </c>
      <c r="C389" s="2" t="s">
        <v>1332</v>
      </c>
      <c r="D389" s="2" t="s">
        <v>1333</v>
      </c>
      <c r="E389" s="2" t="s">
        <v>13</v>
      </c>
      <c r="F389" s="2">
        <v>2010</v>
      </c>
      <c r="G389" s="3">
        <v>41249</v>
      </c>
      <c r="I389" s="2" t="s">
        <v>44</v>
      </c>
      <c r="J389" s="2" t="s">
        <v>1334</v>
      </c>
    </row>
    <row r="390" spans="1:10" x14ac:dyDescent="0.25">
      <c r="A390" s="2" t="s">
        <v>10</v>
      </c>
      <c r="B390" s="2" t="str">
        <f>"9780071639606"</f>
        <v>9780071639606</v>
      </c>
      <c r="C390" s="2" t="s">
        <v>1335</v>
      </c>
      <c r="D390" s="2" t="s">
        <v>1336</v>
      </c>
      <c r="E390" s="2" t="s">
        <v>13</v>
      </c>
      <c r="F390" s="2">
        <v>2010</v>
      </c>
      <c r="G390" s="3">
        <v>40909</v>
      </c>
      <c r="H390" s="2" t="s">
        <v>1337</v>
      </c>
      <c r="I390" s="2" t="s">
        <v>15</v>
      </c>
      <c r="J390" s="2" t="s">
        <v>1338</v>
      </c>
    </row>
    <row r="391" spans="1:10" x14ac:dyDescent="0.25">
      <c r="A391" s="2" t="s">
        <v>10</v>
      </c>
      <c r="B391" s="2" t="str">
        <f>"9780071623957"</f>
        <v>9780071623957</v>
      </c>
      <c r="C391" s="2" t="s">
        <v>1339</v>
      </c>
      <c r="D391" s="2" t="s">
        <v>1340</v>
      </c>
      <c r="E391" s="2" t="s">
        <v>13</v>
      </c>
      <c r="F391" s="2">
        <v>2011</v>
      </c>
      <c r="G391" s="3">
        <v>43031</v>
      </c>
      <c r="H391" s="2" t="s">
        <v>1341</v>
      </c>
      <c r="I391" s="2" t="s">
        <v>15</v>
      </c>
      <c r="J391" s="2" t="s">
        <v>1342</v>
      </c>
    </row>
    <row r="392" spans="1:10" hidden="1" x14ac:dyDescent="0.25">
      <c r="A392" s="2" t="s">
        <v>10</v>
      </c>
      <c r="B392" s="2" t="str">
        <f>"9780071632379"</f>
        <v>9780071632379</v>
      </c>
      <c r="C392" s="2" t="s">
        <v>1343</v>
      </c>
      <c r="D392" s="2" t="s">
        <v>1344</v>
      </c>
      <c r="E392" s="2" t="s">
        <v>13</v>
      </c>
      <c r="F392" s="2">
        <v>2010</v>
      </c>
      <c r="G392" s="3">
        <v>40909</v>
      </c>
      <c r="H392" s="2" t="s">
        <v>393</v>
      </c>
      <c r="I392" s="2" t="s">
        <v>44</v>
      </c>
      <c r="J392" s="2" t="s">
        <v>1345</v>
      </c>
    </row>
    <row r="393" spans="1:10" x14ac:dyDescent="0.25">
      <c r="A393" s="2" t="s">
        <v>10</v>
      </c>
      <c r="B393" s="2" t="str">
        <f>"9780071701242"</f>
        <v>9780071701242</v>
      </c>
      <c r="C393" s="2" t="s">
        <v>1346</v>
      </c>
      <c r="D393" s="2" t="s">
        <v>980</v>
      </c>
      <c r="E393" s="2" t="s">
        <v>13</v>
      </c>
      <c r="F393" s="2">
        <v>2011</v>
      </c>
      <c r="G393" s="3">
        <v>40909</v>
      </c>
      <c r="H393" s="2" t="s">
        <v>1347</v>
      </c>
      <c r="I393" s="2" t="s">
        <v>15</v>
      </c>
      <c r="J393" s="2" t="s">
        <v>1348</v>
      </c>
    </row>
    <row r="394" spans="1:10" hidden="1" x14ac:dyDescent="0.25">
      <c r="A394" s="2" t="s">
        <v>10</v>
      </c>
      <c r="B394" s="2" t="str">
        <f>"9780071663588"</f>
        <v>9780071663588</v>
      </c>
      <c r="C394" s="2" t="s">
        <v>1349</v>
      </c>
      <c r="D394" s="2" t="s">
        <v>634</v>
      </c>
      <c r="E394" s="2" t="s">
        <v>13</v>
      </c>
      <c r="F394" s="2">
        <v>2010</v>
      </c>
      <c r="G394" s="3">
        <v>40909</v>
      </c>
      <c r="I394" s="2" t="s">
        <v>44</v>
      </c>
      <c r="J394" s="2" t="s">
        <v>1350</v>
      </c>
    </row>
    <row r="395" spans="1:10" x14ac:dyDescent="0.25">
      <c r="A395" s="2" t="s">
        <v>10</v>
      </c>
      <c r="B395" s="2" t="str">
        <f>"9780071622462"</f>
        <v>9780071622462</v>
      </c>
      <c r="C395" s="2" t="s">
        <v>1351</v>
      </c>
      <c r="D395" s="2" t="s">
        <v>1352</v>
      </c>
      <c r="E395" s="2" t="s">
        <v>13</v>
      </c>
      <c r="F395" s="2">
        <v>2009</v>
      </c>
      <c r="G395" s="3">
        <v>40909</v>
      </c>
      <c r="H395" s="2" t="s">
        <v>115</v>
      </c>
      <c r="I395" s="2" t="s">
        <v>15</v>
      </c>
      <c r="J395" s="2" t="s">
        <v>1353</v>
      </c>
    </row>
    <row r="396" spans="1:10" x14ac:dyDescent="0.25">
      <c r="A396" s="2" t="s">
        <v>10</v>
      </c>
      <c r="B396" s="2" t="str">
        <f>"9780071738606"</f>
        <v>9780071738606</v>
      </c>
      <c r="C396" s="2" t="s">
        <v>1354</v>
      </c>
      <c r="D396" s="2" t="s">
        <v>634</v>
      </c>
      <c r="E396" s="2" t="s">
        <v>13</v>
      </c>
      <c r="F396" s="2">
        <v>2011</v>
      </c>
      <c r="G396" s="3">
        <v>41257</v>
      </c>
      <c r="H396" s="2" t="s">
        <v>217</v>
      </c>
      <c r="I396" s="2" t="s">
        <v>15</v>
      </c>
      <c r="J396" s="2" t="s">
        <v>1355</v>
      </c>
    </row>
    <row r="397" spans="1:10" x14ac:dyDescent="0.25">
      <c r="A397" s="2" t="s">
        <v>10</v>
      </c>
      <c r="B397" s="2" t="str">
        <f>"9780071741057"</f>
        <v>9780071741057</v>
      </c>
      <c r="C397" s="2" t="s">
        <v>1356</v>
      </c>
      <c r="D397" s="2" t="s">
        <v>1357</v>
      </c>
      <c r="E397" s="2" t="s">
        <v>13</v>
      </c>
      <c r="F397" s="2">
        <v>2010</v>
      </c>
      <c r="G397" s="3">
        <v>41256</v>
      </c>
      <c r="H397" s="2" t="s">
        <v>661</v>
      </c>
      <c r="I397" s="2" t="s">
        <v>15</v>
      </c>
      <c r="J397" s="2" t="s">
        <v>1358</v>
      </c>
    </row>
    <row r="398" spans="1:10" x14ac:dyDescent="0.25">
      <c r="A398" s="2" t="s">
        <v>10</v>
      </c>
      <c r="B398" s="2" t="str">
        <f>"9780071752442"</f>
        <v>9780071752442</v>
      </c>
      <c r="C398" s="2" t="s">
        <v>1359</v>
      </c>
      <c r="D398" s="2" t="s">
        <v>1360</v>
      </c>
      <c r="E398" s="2" t="s">
        <v>13</v>
      </c>
      <c r="F398" s="2">
        <v>2011</v>
      </c>
      <c r="G398" s="3">
        <v>41281</v>
      </c>
      <c r="H398" s="2" t="s">
        <v>1361</v>
      </c>
      <c r="I398" s="2" t="s">
        <v>15</v>
      </c>
      <c r="J398" s="2" t="s">
        <v>1362</v>
      </c>
    </row>
    <row r="399" spans="1:10" x14ac:dyDescent="0.25">
      <c r="A399" s="2" t="s">
        <v>10</v>
      </c>
      <c r="B399" s="2" t="str">
        <f>"9780071745925"</f>
        <v>9780071745925</v>
      </c>
      <c r="C399" s="2" t="s">
        <v>1363</v>
      </c>
      <c r="D399" s="2" t="s">
        <v>1364</v>
      </c>
      <c r="E399" s="2" t="s">
        <v>13</v>
      </c>
      <c r="F399" s="2">
        <v>2011</v>
      </c>
      <c r="G399" s="3">
        <v>41249</v>
      </c>
      <c r="H399" s="2" t="s">
        <v>599</v>
      </c>
      <c r="I399" s="2" t="s">
        <v>15</v>
      </c>
      <c r="J399" s="2" t="s">
        <v>1365</v>
      </c>
    </row>
    <row r="400" spans="1:10" x14ac:dyDescent="0.25">
      <c r="A400" s="2" t="s">
        <v>10</v>
      </c>
      <c r="B400" s="2" t="str">
        <f>"9780071748834"</f>
        <v>9780071748834</v>
      </c>
      <c r="C400" s="2" t="s">
        <v>1366</v>
      </c>
      <c r="D400" s="2" t="s">
        <v>1367</v>
      </c>
      <c r="E400" s="2" t="s">
        <v>13</v>
      </c>
      <c r="F400" s="2">
        <v>2011</v>
      </c>
      <c r="G400" s="3">
        <v>42207</v>
      </c>
      <c r="H400" s="2" t="s">
        <v>1368</v>
      </c>
      <c r="I400" s="2" t="s">
        <v>15</v>
      </c>
      <c r="J400" s="2" t="s">
        <v>1369</v>
      </c>
    </row>
    <row r="401" spans="1:10" x14ac:dyDescent="0.25">
      <c r="A401" s="2" t="s">
        <v>10</v>
      </c>
      <c r="B401" s="2" t="str">
        <f>"9780071753791"</f>
        <v>9780071753791</v>
      </c>
      <c r="C401" s="2" t="s">
        <v>1370</v>
      </c>
      <c r="D401" s="2" t="s">
        <v>389</v>
      </c>
      <c r="E401" s="2" t="s">
        <v>13</v>
      </c>
      <c r="F401" s="2">
        <v>2011</v>
      </c>
      <c r="G401" s="3">
        <v>40909</v>
      </c>
      <c r="H401" s="2" t="s">
        <v>1371</v>
      </c>
      <c r="I401" s="2" t="s">
        <v>15</v>
      </c>
      <c r="J401" s="2" t="s">
        <v>1372</v>
      </c>
    </row>
    <row r="402" spans="1:10" x14ac:dyDescent="0.25">
      <c r="A402" s="2" t="s">
        <v>10</v>
      </c>
      <c r="B402" s="2" t="str">
        <f>"9780071755658"</f>
        <v>9780071755658</v>
      </c>
      <c r="C402" s="2" t="s">
        <v>1373</v>
      </c>
      <c r="D402" s="2" t="s">
        <v>1374</v>
      </c>
      <c r="E402" s="2" t="s">
        <v>13</v>
      </c>
      <c r="F402" s="2">
        <v>2011</v>
      </c>
      <c r="G402" s="3">
        <v>41302</v>
      </c>
      <c r="H402" s="2" t="s">
        <v>52</v>
      </c>
      <c r="I402" s="2" t="s">
        <v>15</v>
      </c>
      <c r="J402" s="2" t="s">
        <v>1375</v>
      </c>
    </row>
    <row r="403" spans="1:10" hidden="1" x14ac:dyDescent="0.25">
      <c r="A403" s="2" t="s">
        <v>10</v>
      </c>
      <c r="B403" s="2" t="str">
        <f>"9780071745604"</f>
        <v>9780071745604</v>
      </c>
      <c r="C403" s="2" t="s">
        <v>1376</v>
      </c>
      <c r="D403" s="2" t="s">
        <v>1377</v>
      </c>
      <c r="E403" s="2" t="s">
        <v>13</v>
      </c>
      <c r="F403" s="2">
        <v>2015</v>
      </c>
      <c r="G403" s="3">
        <v>42063</v>
      </c>
      <c r="I403" s="2" t="s">
        <v>44</v>
      </c>
      <c r="J403" s="2" t="s">
        <v>1378</v>
      </c>
    </row>
    <row r="404" spans="1:10" hidden="1" x14ac:dyDescent="0.25">
      <c r="A404" s="2" t="s">
        <v>10</v>
      </c>
      <c r="B404" s="2" t="str">
        <f>"9780071714778"</f>
        <v>9780071714778</v>
      </c>
      <c r="C404" s="2" t="s">
        <v>1379</v>
      </c>
      <c r="D404" s="2" t="s">
        <v>1380</v>
      </c>
      <c r="E404" s="2" t="s">
        <v>13</v>
      </c>
      <c r="F404" s="2">
        <v>2011</v>
      </c>
      <c r="G404" s="3">
        <v>40909</v>
      </c>
      <c r="I404" s="2" t="s">
        <v>44</v>
      </c>
      <c r="J404" s="2" t="s">
        <v>1381</v>
      </c>
    </row>
    <row r="405" spans="1:10" x14ac:dyDescent="0.25">
      <c r="A405" s="2" t="s">
        <v>10</v>
      </c>
      <c r="B405" s="2" t="str">
        <f>"9780071755672"</f>
        <v>9780071755672</v>
      </c>
      <c r="C405" s="2" t="s">
        <v>1382</v>
      </c>
      <c r="D405" s="2" t="s">
        <v>1383</v>
      </c>
      <c r="E405" s="2" t="s">
        <v>13</v>
      </c>
      <c r="F405" s="2">
        <v>2011</v>
      </c>
      <c r="G405" s="3">
        <v>42077</v>
      </c>
      <c r="H405" s="2" t="s">
        <v>1384</v>
      </c>
      <c r="I405" s="2" t="s">
        <v>15</v>
      </c>
      <c r="J405" s="2" t="s">
        <v>1385</v>
      </c>
    </row>
    <row r="406" spans="1:10" x14ac:dyDescent="0.25">
      <c r="A406" s="2" t="s">
        <v>10</v>
      </c>
      <c r="B406" s="2" t="str">
        <f>"9780071745727"</f>
        <v>9780071745727</v>
      </c>
      <c r="C406" s="2" t="s">
        <v>1386</v>
      </c>
      <c r="D406" s="2" t="s">
        <v>1387</v>
      </c>
      <c r="E406" s="2" t="s">
        <v>13</v>
      </c>
      <c r="F406" s="2">
        <v>2012</v>
      </c>
      <c r="G406" s="3">
        <v>41332</v>
      </c>
      <c r="H406" s="2" t="s">
        <v>1388</v>
      </c>
      <c r="I406" s="2" t="s">
        <v>15</v>
      </c>
      <c r="J406" s="2" t="s">
        <v>1389</v>
      </c>
    </row>
    <row r="407" spans="1:10" x14ac:dyDescent="0.25">
      <c r="A407" s="2" t="s">
        <v>10</v>
      </c>
      <c r="B407" s="2" t="str">
        <f>"9780071755634"</f>
        <v>9780071755634</v>
      </c>
      <c r="C407" s="2" t="s">
        <v>1390</v>
      </c>
      <c r="D407" s="2" t="s">
        <v>1391</v>
      </c>
      <c r="E407" s="2" t="s">
        <v>13</v>
      </c>
      <c r="F407" s="2">
        <v>2011</v>
      </c>
      <c r="G407" s="3">
        <v>41311</v>
      </c>
      <c r="H407" s="2" t="s">
        <v>1392</v>
      </c>
      <c r="I407" s="2" t="s">
        <v>15</v>
      </c>
      <c r="J407" s="2" t="s">
        <v>1393</v>
      </c>
    </row>
    <row r="408" spans="1:10" hidden="1" x14ac:dyDescent="0.25">
      <c r="A408" s="2" t="s">
        <v>10</v>
      </c>
      <c r="B408" s="2" t="str">
        <f>"9780071742580"</f>
        <v>9780071742580</v>
      </c>
      <c r="C408" s="2" t="s">
        <v>1394</v>
      </c>
      <c r="D408" s="2" t="s">
        <v>1395</v>
      </c>
      <c r="E408" s="2" t="s">
        <v>13</v>
      </c>
      <c r="F408" s="2">
        <v>2012</v>
      </c>
      <c r="G408" s="3">
        <v>41851</v>
      </c>
      <c r="I408" s="2" t="s">
        <v>44</v>
      </c>
      <c r="J408" s="2" t="s">
        <v>1396</v>
      </c>
    </row>
    <row r="409" spans="1:10" hidden="1" x14ac:dyDescent="0.25">
      <c r="A409" s="2" t="s">
        <v>10</v>
      </c>
      <c r="B409" s="2" t="str">
        <f>"9780071713603"</f>
        <v>9780071713603</v>
      </c>
      <c r="C409" s="2" t="s">
        <v>1397</v>
      </c>
      <c r="D409" s="2" t="s">
        <v>1344</v>
      </c>
      <c r="E409" s="2" t="s">
        <v>13</v>
      </c>
      <c r="F409" s="2">
        <v>2011</v>
      </c>
      <c r="G409" s="3">
        <v>40751</v>
      </c>
      <c r="H409" s="2" t="s">
        <v>1398</v>
      </c>
      <c r="I409" s="2" t="s">
        <v>44</v>
      </c>
      <c r="J409" s="2" t="s">
        <v>1399</v>
      </c>
    </row>
    <row r="410" spans="1:10" x14ac:dyDescent="0.25">
      <c r="A410" s="2" t="s">
        <v>10</v>
      </c>
      <c r="B410" s="2" t="str">
        <f>"9780071741675"</f>
        <v>9780071741675</v>
      </c>
      <c r="C410" s="2" t="s">
        <v>1400</v>
      </c>
      <c r="D410" s="2" t="s">
        <v>1401</v>
      </c>
      <c r="E410" s="2" t="s">
        <v>13</v>
      </c>
      <c r="F410" s="2">
        <v>2011</v>
      </c>
      <c r="G410" s="3">
        <v>42273</v>
      </c>
      <c r="H410" s="2" t="s">
        <v>1402</v>
      </c>
      <c r="I410" s="2" t="s">
        <v>15</v>
      </c>
      <c r="J410" s="2" t="s">
        <v>1403</v>
      </c>
    </row>
    <row r="411" spans="1:10" x14ac:dyDescent="0.25">
      <c r="A411" s="2" t="s">
        <v>10</v>
      </c>
      <c r="B411" s="2" t="str">
        <f>"9780071749091"</f>
        <v>9780071749091</v>
      </c>
      <c r="C411" s="2" t="s">
        <v>1404</v>
      </c>
      <c r="D411" s="2" t="s">
        <v>1405</v>
      </c>
      <c r="E411" s="2" t="s">
        <v>13</v>
      </c>
      <c r="F411" s="2">
        <v>2011</v>
      </c>
      <c r="G411" s="3">
        <v>41249</v>
      </c>
      <c r="H411" s="2" t="s">
        <v>1406</v>
      </c>
      <c r="I411" s="2" t="s">
        <v>15</v>
      </c>
      <c r="J411" s="2" t="s">
        <v>1407</v>
      </c>
    </row>
    <row r="412" spans="1:10" x14ac:dyDescent="0.25">
      <c r="A412" s="2" t="s">
        <v>10</v>
      </c>
      <c r="B412" s="2" t="str">
        <f>"9780071743266"</f>
        <v>9780071743266</v>
      </c>
      <c r="C412" s="2" t="s">
        <v>1408</v>
      </c>
      <c r="D412" s="2" t="s">
        <v>1409</v>
      </c>
      <c r="E412" s="2" t="s">
        <v>13</v>
      </c>
      <c r="F412" s="2">
        <v>2010</v>
      </c>
      <c r="G412" s="3">
        <v>41622</v>
      </c>
      <c r="H412" s="2" t="s">
        <v>302</v>
      </c>
      <c r="I412" s="2" t="s">
        <v>15</v>
      </c>
      <c r="J412" s="2" t="s">
        <v>1410</v>
      </c>
    </row>
    <row r="413" spans="1:10" hidden="1" x14ac:dyDescent="0.25">
      <c r="A413" s="2" t="s">
        <v>10</v>
      </c>
      <c r="B413" s="2" t="str">
        <f>"9780071750363"</f>
        <v>9780071750363</v>
      </c>
      <c r="C413" s="2" t="s">
        <v>1411</v>
      </c>
      <c r="D413" s="2" t="s">
        <v>1412</v>
      </c>
      <c r="E413" s="2" t="s">
        <v>13</v>
      </c>
      <c r="F413" s="2">
        <v>2011</v>
      </c>
      <c r="G413" s="3">
        <v>42095</v>
      </c>
      <c r="I413" s="2" t="s">
        <v>44</v>
      </c>
      <c r="J413" s="2" t="s">
        <v>1413</v>
      </c>
    </row>
    <row r="414" spans="1:10" hidden="1" x14ac:dyDescent="0.25">
      <c r="A414" s="2" t="s">
        <v>10</v>
      </c>
      <c r="B414" s="2" t="str">
        <f>"9780071750370"</f>
        <v>9780071750370</v>
      </c>
      <c r="C414" s="2" t="s">
        <v>1414</v>
      </c>
      <c r="D414" s="2" t="s">
        <v>1415</v>
      </c>
      <c r="E414" s="2" t="s">
        <v>13</v>
      </c>
      <c r="F414" s="2">
        <v>2012</v>
      </c>
      <c r="G414" s="3">
        <v>41311</v>
      </c>
      <c r="I414" s="2" t="s">
        <v>44</v>
      </c>
      <c r="J414" s="2" t="s">
        <v>1416</v>
      </c>
    </row>
    <row r="415" spans="1:10" x14ac:dyDescent="0.25">
      <c r="A415" s="2" t="s">
        <v>10</v>
      </c>
      <c r="B415" s="2" t="str">
        <f>"9780071746793"</f>
        <v>9780071746793</v>
      </c>
      <c r="C415" s="2" t="s">
        <v>1417</v>
      </c>
      <c r="D415" s="2" t="s">
        <v>1418</v>
      </c>
      <c r="E415" s="2" t="s">
        <v>13</v>
      </c>
      <c r="F415" s="2">
        <v>2011</v>
      </c>
      <c r="G415" s="3">
        <v>42000</v>
      </c>
      <c r="H415" s="2" t="s">
        <v>569</v>
      </c>
      <c r="I415" s="2" t="s">
        <v>15</v>
      </c>
      <c r="J415" s="2" t="s">
        <v>1419</v>
      </c>
    </row>
    <row r="416" spans="1:10" x14ac:dyDescent="0.25">
      <c r="A416" s="2" t="s">
        <v>10</v>
      </c>
      <c r="B416" s="2" t="str">
        <f>"9780071742320"</f>
        <v>9780071742320</v>
      </c>
      <c r="C416" s="2" t="s">
        <v>1420</v>
      </c>
      <c r="D416" s="2" t="s">
        <v>1421</v>
      </c>
      <c r="E416" s="2" t="s">
        <v>13</v>
      </c>
      <c r="F416" s="2">
        <v>2011</v>
      </c>
      <c r="G416" s="3">
        <v>41622</v>
      </c>
      <c r="H416" s="2" t="s">
        <v>1422</v>
      </c>
      <c r="I416" s="2" t="s">
        <v>15</v>
      </c>
      <c r="J416" s="2" t="s">
        <v>1423</v>
      </c>
    </row>
    <row r="417" spans="1:10" x14ac:dyDescent="0.25">
      <c r="A417" s="2" t="s">
        <v>10</v>
      </c>
      <c r="B417" s="2" t="str">
        <f>"9780071737012"</f>
        <v>9780071737012</v>
      </c>
      <c r="C417" s="2" t="s">
        <v>1424</v>
      </c>
      <c r="D417" s="2" t="s">
        <v>1316</v>
      </c>
      <c r="E417" s="2" t="s">
        <v>13</v>
      </c>
      <c r="F417" s="2">
        <v>2010</v>
      </c>
      <c r="G417" s="3">
        <v>40909</v>
      </c>
      <c r="H417" s="2" t="s">
        <v>1425</v>
      </c>
      <c r="I417" s="2" t="s">
        <v>15</v>
      </c>
      <c r="J417" s="2" t="s">
        <v>1426</v>
      </c>
    </row>
    <row r="418" spans="1:10" x14ac:dyDescent="0.25">
      <c r="A418" s="2" t="s">
        <v>10</v>
      </c>
      <c r="B418" s="2" t="str">
        <f>"9780071745529"</f>
        <v>9780071745529</v>
      </c>
      <c r="C418" s="2" t="s">
        <v>1427</v>
      </c>
      <c r="D418" s="2" t="s">
        <v>1428</v>
      </c>
      <c r="E418" s="2" t="s">
        <v>13</v>
      </c>
      <c r="F418" s="2">
        <v>2012</v>
      </c>
      <c r="G418" s="3">
        <v>41311</v>
      </c>
      <c r="H418" s="2" t="s">
        <v>1429</v>
      </c>
      <c r="I418" s="2" t="s">
        <v>15</v>
      </c>
      <c r="J418" s="2" t="s">
        <v>1430</v>
      </c>
    </row>
    <row r="419" spans="1:10" x14ac:dyDescent="0.25">
      <c r="A419" s="2" t="s">
        <v>10</v>
      </c>
      <c r="B419" s="2" t="str">
        <f>"9780071745703"</f>
        <v>9780071745703</v>
      </c>
      <c r="C419" s="2" t="s">
        <v>1431</v>
      </c>
      <c r="D419" s="2" t="s">
        <v>1432</v>
      </c>
      <c r="E419" s="2" t="s">
        <v>13</v>
      </c>
      <c r="F419" s="2">
        <v>2011</v>
      </c>
      <c r="G419" s="3">
        <v>41449</v>
      </c>
      <c r="H419" s="2" t="s">
        <v>853</v>
      </c>
      <c r="I419" s="2" t="s">
        <v>15</v>
      </c>
      <c r="J419" s="2" t="s">
        <v>1433</v>
      </c>
    </row>
    <row r="420" spans="1:10" x14ac:dyDescent="0.25">
      <c r="A420" s="2" t="s">
        <v>10</v>
      </c>
      <c r="B420" s="2" t="str">
        <f>"9780071743891"</f>
        <v>9780071743891</v>
      </c>
      <c r="C420" s="2" t="s">
        <v>1434</v>
      </c>
      <c r="D420" s="2" t="s">
        <v>1435</v>
      </c>
      <c r="E420" s="2" t="s">
        <v>13</v>
      </c>
      <c r="F420" s="2">
        <v>2011</v>
      </c>
      <c r="G420" s="3">
        <v>41256</v>
      </c>
      <c r="H420" s="2" t="s">
        <v>1436</v>
      </c>
      <c r="I420" s="2" t="s">
        <v>15</v>
      </c>
      <c r="J420" s="2" t="s">
        <v>1437</v>
      </c>
    </row>
    <row r="421" spans="1:10" x14ac:dyDescent="0.25">
      <c r="A421" s="2" t="s">
        <v>10</v>
      </c>
      <c r="B421" s="2" t="str">
        <f>"9780071752855"</f>
        <v>9780071752855</v>
      </c>
      <c r="C421" s="2" t="s">
        <v>1438</v>
      </c>
      <c r="D421" s="2" t="s">
        <v>1439</v>
      </c>
      <c r="E421" s="2" t="s">
        <v>13</v>
      </c>
      <c r="F421" s="2">
        <v>2011</v>
      </c>
      <c r="G421" s="3">
        <v>42207</v>
      </c>
      <c r="H421" s="2" t="s">
        <v>344</v>
      </c>
      <c r="I421" s="2" t="s">
        <v>15</v>
      </c>
      <c r="J421" s="2" t="s">
        <v>1440</v>
      </c>
    </row>
    <row r="422" spans="1:10" x14ac:dyDescent="0.25">
      <c r="A422" s="2" t="s">
        <v>10</v>
      </c>
      <c r="B422" s="2" t="str">
        <f>"9780071752978"</f>
        <v>9780071752978</v>
      </c>
      <c r="C422" s="2" t="s">
        <v>1441</v>
      </c>
      <c r="D422" s="2" t="s">
        <v>1442</v>
      </c>
      <c r="E422" s="2" t="s">
        <v>13</v>
      </c>
      <c r="F422" s="2">
        <v>2011</v>
      </c>
      <c r="G422" s="3">
        <v>41477</v>
      </c>
      <c r="H422" s="2" t="s">
        <v>1443</v>
      </c>
      <c r="I422" s="2" t="s">
        <v>15</v>
      </c>
      <c r="J422" s="2" t="s">
        <v>1444</v>
      </c>
    </row>
    <row r="423" spans="1:10" hidden="1" x14ac:dyDescent="0.25">
      <c r="A423" s="2" t="s">
        <v>10</v>
      </c>
      <c r="B423" s="2" t="str">
        <f>"9780071750318"</f>
        <v>9780071750318</v>
      </c>
      <c r="C423" s="2" t="s">
        <v>1445</v>
      </c>
      <c r="D423" s="2" t="s">
        <v>1446</v>
      </c>
      <c r="E423" s="2" t="s">
        <v>13</v>
      </c>
      <c r="F423" s="2">
        <v>2011</v>
      </c>
      <c r="G423" s="3">
        <v>42455</v>
      </c>
      <c r="I423" s="2" t="s">
        <v>44</v>
      </c>
      <c r="J423" s="2" t="s">
        <v>1447</v>
      </c>
    </row>
    <row r="424" spans="1:10" hidden="1" x14ac:dyDescent="0.25">
      <c r="A424" s="2" t="s">
        <v>10</v>
      </c>
      <c r="B424" s="2" t="str">
        <f>"9780071752497"</f>
        <v>9780071752497</v>
      </c>
      <c r="C424" s="2" t="s">
        <v>1448</v>
      </c>
      <c r="D424" s="2" t="s">
        <v>1449</v>
      </c>
      <c r="E424" s="2" t="s">
        <v>13</v>
      </c>
      <c r="F424" s="2">
        <v>2012</v>
      </c>
      <c r="G424" s="3">
        <v>41359</v>
      </c>
      <c r="I424" s="2" t="s">
        <v>44</v>
      </c>
      <c r="J424" s="2" t="s">
        <v>1450</v>
      </c>
    </row>
    <row r="425" spans="1:10" x14ac:dyDescent="0.25">
      <c r="A425" s="2" t="s">
        <v>10</v>
      </c>
      <c r="B425" s="2" t="str">
        <f>"9780071743839"</f>
        <v>9780071743839</v>
      </c>
      <c r="C425" s="2" t="s">
        <v>1451</v>
      </c>
      <c r="D425" s="2" t="s">
        <v>1452</v>
      </c>
      <c r="E425" s="2" t="s">
        <v>13</v>
      </c>
      <c r="F425" s="2">
        <v>2011</v>
      </c>
      <c r="G425" s="3">
        <v>41851</v>
      </c>
      <c r="H425" s="2" t="s">
        <v>1453</v>
      </c>
      <c r="I425" s="2" t="s">
        <v>15</v>
      </c>
      <c r="J425" s="2" t="s">
        <v>1454</v>
      </c>
    </row>
    <row r="426" spans="1:10" x14ac:dyDescent="0.25">
      <c r="A426" s="2" t="s">
        <v>10</v>
      </c>
      <c r="B426" s="2" t="str">
        <f>"9780071754934"</f>
        <v>9780071754934</v>
      </c>
      <c r="C426" s="2" t="s">
        <v>1455</v>
      </c>
      <c r="D426" s="2" t="s">
        <v>1456</v>
      </c>
      <c r="E426" s="2" t="s">
        <v>13</v>
      </c>
      <c r="F426" s="2">
        <v>2011</v>
      </c>
      <c r="G426" s="3">
        <v>41879</v>
      </c>
      <c r="H426" s="2" t="s">
        <v>281</v>
      </c>
      <c r="I426" s="2" t="s">
        <v>15</v>
      </c>
      <c r="J426" s="2" t="s">
        <v>1457</v>
      </c>
    </row>
    <row r="427" spans="1:10" hidden="1" x14ac:dyDescent="0.25">
      <c r="A427" s="2" t="s">
        <v>10</v>
      </c>
      <c r="B427" s="2" t="str">
        <f>"9780071742474"</f>
        <v>9780071742474</v>
      </c>
      <c r="C427" s="2" t="s">
        <v>1458</v>
      </c>
      <c r="D427" s="2" t="s">
        <v>1459</v>
      </c>
      <c r="E427" s="2" t="s">
        <v>13</v>
      </c>
      <c r="F427" s="2">
        <v>2012</v>
      </c>
      <c r="G427" s="3">
        <v>41186</v>
      </c>
      <c r="I427" s="2" t="s">
        <v>44</v>
      </c>
      <c r="J427" s="2" t="s">
        <v>1460</v>
      </c>
    </row>
    <row r="428" spans="1:10" x14ac:dyDescent="0.25">
      <c r="A428" s="2" t="s">
        <v>10</v>
      </c>
      <c r="B428" s="2" t="str">
        <f>"9780071748759"</f>
        <v>9780071748759</v>
      </c>
      <c r="C428" s="2" t="s">
        <v>1461</v>
      </c>
      <c r="D428" s="2" t="s">
        <v>1214</v>
      </c>
      <c r="E428" s="2" t="s">
        <v>13</v>
      </c>
      <c r="F428" s="2">
        <v>2011</v>
      </c>
      <c r="G428" s="3">
        <v>41732</v>
      </c>
      <c r="H428" s="2" t="s">
        <v>1462</v>
      </c>
      <c r="I428" s="2" t="s">
        <v>15</v>
      </c>
      <c r="J428" s="2" t="s">
        <v>1463</v>
      </c>
    </row>
    <row r="429" spans="1:10" x14ac:dyDescent="0.25">
      <c r="A429" s="2" t="s">
        <v>10</v>
      </c>
      <c r="B429" s="2" t="str">
        <f>"9780071742498"</f>
        <v>9780071742498</v>
      </c>
      <c r="C429" s="2" t="s">
        <v>1464</v>
      </c>
      <c r="D429" s="2" t="s">
        <v>1418</v>
      </c>
      <c r="E429" s="2" t="s">
        <v>13</v>
      </c>
      <c r="F429" s="2">
        <v>2011</v>
      </c>
      <c r="G429" s="3">
        <v>41249</v>
      </c>
      <c r="H429" s="2" t="s">
        <v>536</v>
      </c>
      <c r="I429" s="2" t="s">
        <v>15</v>
      </c>
      <c r="J429" s="2" t="s">
        <v>1465</v>
      </c>
    </row>
    <row r="430" spans="1:10" x14ac:dyDescent="0.25">
      <c r="A430" s="2" t="s">
        <v>10</v>
      </c>
      <c r="B430" s="2" t="str">
        <f>"9780071737050"</f>
        <v>9780071737050</v>
      </c>
      <c r="C430" s="2" t="s">
        <v>1466</v>
      </c>
      <c r="D430" s="2" t="s">
        <v>634</v>
      </c>
      <c r="E430" s="2" t="s">
        <v>13</v>
      </c>
      <c r="F430" s="2">
        <v>2011</v>
      </c>
      <c r="G430" s="3">
        <v>40909</v>
      </c>
      <c r="H430" s="2" t="s">
        <v>1467</v>
      </c>
      <c r="I430" s="2" t="s">
        <v>15</v>
      </c>
      <c r="J430" s="2" t="s">
        <v>1468</v>
      </c>
    </row>
    <row r="431" spans="1:10" hidden="1" x14ac:dyDescent="0.25">
      <c r="A431" s="2" t="s">
        <v>10</v>
      </c>
      <c r="B431" s="2" t="str">
        <f>"9780071741354"</f>
        <v>9780071741354</v>
      </c>
      <c r="C431" s="2" t="s">
        <v>1469</v>
      </c>
      <c r="D431" s="2" t="s">
        <v>1470</v>
      </c>
      <c r="E431" s="2" t="s">
        <v>13</v>
      </c>
      <c r="F431" s="2">
        <v>2011</v>
      </c>
      <c r="G431" s="3">
        <v>42095</v>
      </c>
      <c r="I431" s="2" t="s">
        <v>44</v>
      </c>
      <c r="J431" s="2" t="s">
        <v>1471</v>
      </c>
    </row>
    <row r="432" spans="1:10" x14ac:dyDescent="0.25">
      <c r="A432" s="2" t="s">
        <v>10</v>
      </c>
      <c r="B432" s="2" t="str">
        <f>"9780071743853"</f>
        <v>9780071743853</v>
      </c>
      <c r="C432" s="2" t="s">
        <v>1472</v>
      </c>
      <c r="D432" s="2" t="s">
        <v>1473</v>
      </c>
      <c r="E432" s="2" t="s">
        <v>13</v>
      </c>
      <c r="F432" s="2">
        <v>2012</v>
      </c>
      <c r="G432" s="3">
        <v>41851</v>
      </c>
      <c r="H432" s="2" t="s">
        <v>1406</v>
      </c>
      <c r="I432" s="2" t="s">
        <v>15</v>
      </c>
      <c r="J432" s="2" t="s">
        <v>1474</v>
      </c>
    </row>
    <row r="433" spans="1:10" x14ac:dyDescent="0.25">
      <c r="A433" s="2" t="s">
        <v>10</v>
      </c>
      <c r="B433" s="2" t="str">
        <f>"9780071737074"</f>
        <v>9780071737074</v>
      </c>
      <c r="C433" s="2" t="s">
        <v>1475</v>
      </c>
      <c r="D433" s="2" t="s">
        <v>877</v>
      </c>
      <c r="E433" s="2" t="s">
        <v>13</v>
      </c>
      <c r="F433" s="2">
        <v>2011</v>
      </c>
      <c r="G433" s="3">
        <v>40909</v>
      </c>
      <c r="H433" s="2" t="s">
        <v>135</v>
      </c>
      <c r="I433" s="2" t="s">
        <v>15</v>
      </c>
      <c r="J433" s="2" t="s">
        <v>1476</v>
      </c>
    </row>
    <row r="434" spans="1:10" x14ac:dyDescent="0.25">
      <c r="A434" s="2" t="s">
        <v>10</v>
      </c>
      <c r="B434" s="2" t="str">
        <f>"9780071740111"</f>
        <v>9780071740111</v>
      </c>
      <c r="C434" s="2" t="s">
        <v>1477</v>
      </c>
      <c r="D434" s="2" t="s">
        <v>1478</v>
      </c>
      <c r="E434" s="2" t="s">
        <v>13</v>
      </c>
      <c r="F434" s="2">
        <v>2012</v>
      </c>
      <c r="G434" s="3">
        <v>41030</v>
      </c>
      <c r="H434" s="2" t="s">
        <v>267</v>
      </c>
      <c r="I434" s="2" t="s">
        <v>15</v>
      </c>
      <c r="J434" s="2" t="s">
        <v>1479</v>
      </c>
    </row>
    <row r="435" spans="1:10" hidden="1" x14ac:dyDescent="0.25">
      <c r="A435" s="2" t="s">
        <v>10</v>
      </c>
      <c r="B435" s="2" t="str">
        <f>"9780071713849"</f>
        <v>9780071713849</v>
      </c>
      <c r="C435" s="2" t="s">
        <v>1480</v>
      </c>
      <c r="D435" s="2" t="s">
        <v>1481</v>
      </c>
      <c r="E435" s="2" t="s">
        <v>13</v>
      </c>
      <c r="F435" s="2">
        <v>2010</v>
      </c>
      <c r="G435" s="3">
        <v>41509</v>
      </c>
      <c r="I435" s="2" t="s">
        <v>44</v>
      </c>
      <c r="J435" s="2" t="s">
        <v>1482</v>
      </c>
    </row>
    <row r="436" spans="1:10" x14ac:dyDescent="0.25">
      <c r="A436" s="2" t="s">
        <v>10</v>
      </c>
      <c r="B436" s="2" t="str">
        <f>"9780071754408"</f>
        <v>9780071754408</v>
      </c>
      <c r="C436" s="2" t="s">
        <v>1483</v>
      </c>
      <c r="D436" s="2" t="s">
        <v>1484</v>
      </c>
      <c r="E436" s="2" t="s">
        <v>13</v>
      </c>
      <c r="F436" s="2">
        <v>2011</v>
      </c>
      <c r="G436" s="3">
        <v>41281</v>
      </c>
      <c r="H436" s="2" t="s">
        <v>180</v>
      </c>
      <c r="I436" s="2" t="s">
        <v>15</v>
      </c>
      <c r="J436" s="2" t="s">
        <v>1485</v>
      </c>
    </row>
    <row r="437" spans="1:10" x14ac:dyDescent="0.25">
      <c r="A437" s="2" t="s">
        <v>10</v>
      </c>
      <c r="B437" s="2" t="str">
        <f>"9780071737098"</f>
        <v>9780071737098</v>
      </c>
      <c r="C437" s="2" t="s">
        <v>1486</v>
      </c>
      <c r="D437" s="2" t="s">
        <v>634</v>
      </c>
      <c r="E437" s="2" t="s">
        <v>13</v>
      </c>
      <c r="F437" s="2">
        <v>2011</v>
      </c>
      <c r="G437" s="3">
        <v>40909</v>
      </c>
      <c r="H437" s="2" t="s">
        <v>1487</v>
      </c>
      <c r="I437" s="2" t="s">
        <v>15</v>
      </c>
      <c r="J437" s="2" t="s">
        <v>1488</v>
      </c>
    </row>
    <row r="438" spans="1:10" x14ac:dyDescent="0.25">
      <c r="A438" s="2" t="s">
        <v>10</v>
      </c>
      <c r="B438" s="2" t="str">
        <f>"9780071753074"</f>
        <v>9780071753074</v>
      </c>
      <c r="C438" s="2" t="s">
        <v>1489</v>
      </c>
      <c r="D438" s="2" t="s">
        <v>1490</v>
      </c>
      <c r="E438" s="2" t="s">
        <v>13</v>
      </c>
      <c r="F438" s="2">
        <v>2012</v>
      </c>
      <c r="G438" s="3">
        <v>41941</v>
      </c>
      <c r="H438" s="2" t="s">
        <v>794</v>
      </c>
      <c r="I438" s="2" t="s">
        <v>15</v>
      </c>
      <c r="J438" s="2" t="s">
        <v>1491</v>
      </c>
    </row>
    <row r="439" spans="1:10" x14ac:dyDescent="0.25">
      <c r="A439" s="2" t="s">
        <v>10</v>
      </c>
      <c r="B439" s="2" t="str">
        <f>"9780071714792"</f>
        <v>9780071714792</v>
      </c>
      <c r="C439" s="2" t="s">
        <v>1492</v>
      </c>
      <c r="D439" s="2" t="s">
        <v>1493</v>
      </c>
      <c r="E439" s="2" t="s">
        <v>13</v>
      </c>
      <c r="F439" s="2">
        <v>2011</v>
      </c>
      <c r="G439" s="3">
        <v>41544</v>
      </c>
      <c r="H439" s="2" t="s">
        <v>1398</v>
      </c>
      <c r="I439" s="2" t="s">
        <v>15</v>
      </c>
      <c r="J439" s="2" t="s">
        <v>1494</v>
      </c>
    </row>
    <row r="440" spans="1:10" x14ac:dyDescent="0.25">
      <c r="A440" s="2" t="s">
        <v>10</v>
      </c>
      <c r="B440" s="2" t="str">
        <f>"9780071714457"</f>
        <v>9780071714457</v>
      </c>
      <c r="C440" s="2" t="s">
        <v>1495</v>
      </c>
      <c r="D440" s="2" t="s">
        <v>1496</v>
      </c>
      <c r="E440" s="2" t="s">
        <v>13</v>
      </c>
      <c r="F440" s="2">
        <v>2011</v>
      </c>
      <c r="G440" s="3">
        <v>41544</v>
      </c>
      <c r="H440" s="2" t="s">
        <v>1497</v>
      </c>
      <c r="I440" s="2" t="s">
        <v>15</v>
      </c>
      <c r="J440" s="2" t="s">
        <v>1498</v>
      </c>
    </row>
    <row r="441" spans="1:10" x14ac:dyDescent="0.25">
      <c r="A441" s="2" t="s">
        <v>10</v>
      </c>
      <c r="B441" s="2" t="str">
        <f>"9780071743006"</f>
        <v>9780071743006</v>
      </c>
      <c r="C441" s="2" t="s">
        <v>1499</v>
      </c>
      <c r="D441" s="2" t="s">
        <v>1500</v>
      </c>
      <c r="E441" s="2" t="s">
        <v>13</v>
      </c>
      <c r="F441" s="2">
        <v>2011</v>
      </c>
      <c r="G441" s="3">
        <v>41303</v>
      </c>
      <c r="H441" s="2" t="s">
        <v>845</v>
      </c>
      <c r="I441" s="2" t="s">
        <v>15</v>
      </c>
      <c r="J441" s="2" t="s">
        <v>1501</v>
      </c>
    </row>
    <row r="442" spans="1:10" hidden="1" x14ac:dyDescent="0.25">
      <c r="A442" s="2" t="s">
        <v>10</v>
      </c>
      <c r="B442" s="2" t="str">
        <f>"9780071745130"</f>
        <v>9780071745130</v>
      </c>
      <c r="C442" s="2" t="s">
        <v>1502</v>
      </c>
      <c r="D442" s="2" t="s">
        <v>1503</v>
      </c>
      <c r="E442" s="2" t="s">
        <v>13</v>
      </c>
      <c r="F442" s="2">
        <v>2012</v>
      </c>
      <c r="G442" s="3">
        <v>41332</v>
      </c>
      <c r="I442" s="2" t="s">
        <v>44</v>
      </c>
      <c r="J442" s="2" t="s">
        <v>1504</v>
      </c>
    </row>
    <row r="443" spans="1:10" x14ac:dyDescent="0.25">
      <c r="A443" s="2" t="s">
        <v>10</v>
      </c>
      <c r="B443" s="2" t="str">
        <f>"9780071742313"</f>
        <v>9780071742313</v>
      </c>
      <c r="C443" s="2" t="s">
        <v>1505</v>
      </c>
      <c r="D443" s="2" t="s">
        <v>1506</v>
      </c>
      <c r="E443" s="2" t="s">
        <v>13</v>
      </c>
      <c r="F443" s="2">
        <v>2010</v>
      </c>
      <c r="G443" s="3">
        <v>41622</v>
      </c>
      <c r="H443" s="2" t="s">
        <v>1507</v>
      </c>
      <c r="I443" s="2" t="s">
        <v>15</v>
      </c>
      <c r="J443" s="2" t="s">
        <v>1508</v>
      </c>
    </row>
    <row r="444" spans="1:10" hidden="1" x14ac:dyDescent="0.25">
      <c r="A444" s="2" t="s">
        <v>10</v>
      </c>
      <c r="B444" s="2" t="str">
        <f>"9780071717915"</f>
        <v>9780071717915</v>
      </c>
      <c r="C444" s="2" t="s">
        <v>1509</v>
      </c>
      <c r="D444" s="2" t="s">
        <v>1510</v>
      </c>
      <c r="E444" s="2" t="s">
        <v>13</v>
      </c>
      <c r="F444" s="2">
        <v>2011</v>
      </c>
      <c r="G444" s="3">
        <v>40909</v>
      </c>
      <c r="I444" s="2" t="s">
        <v>44</v>
      </c>
      <c r="J444" s="2" t="s">
        <v>1511</v>
      </c>
    </row>
    <row r="445" spans="1:10" x14ac:dyDescent="0.25">
      <c r="A445" s="2" t="s">
        <v>10</v>
      </c>
      <c r="B445" s="2" t="str">
        <f>"9780071740098"</f>
        <v>9780071740098</v>
      </c>
      <c r="C445" s="2" t="s">
        <v>1512</v>
      </c>
      <c r="D445" s="2" t="s">
        <v>386</v>
      </c>
      <c r="E445" s="2" t="s">
        <v>13</v>
      </c>
      <c r="F445" s="2">
        <v>2010</v>
      </c>
      <c r="G445" s="3">
        <v>40909</v>
      </c>
      <c r="H445" s="2" t="s">
        <v>1513</v>
      </c>
      <c r="I445" s="2" t="s">
        <v>15</v>
      </c>
      <c r="J445" s="2" t="s">
        <v>1514</v>
      </c>
    </row>
    <row r="446" spans="1:10" x14ac:dyDescent="0.25">
      <c r="A446" s="2" t="s">
        <v>10</v>
      </c>
      <c r="B446" s="2" t="str">
        <f>"9780071704427"</f>
        <v>9780071704427</v>
      </c>
      <c r="C446" s="2" t="s">
        <v>1515</v>
      </c>
      <c r="D446" s="2" t="s">
        <v>164</v>
      </c>
      <c r="E446" s="2" t="s">
        <v>13</v>
      </c>
      <c r="F446" s="2">
        <v>2011</v>
      </c>
      <c r="G446" s="3">
        <v>41480</v>
      </c>
      <c r="H446" s="2" t="s">
        <v>1516</v>
      </c>
      <c r="I446" s="2" t="s">
        <v>15</v>
      </c>
      <c r="J446" s="2" t="s">
        <v>1517</v>
      </c>
    </row>
    <row r="447" spans="1:10" x14ac:dyDescent="0.25">
      <c r="A447" s="2" t="s">
        <v>10</v>
      </c>
      <c r="B447" s="2" t="str">
        <f>"9780071745079"</f>
        <v>9780071745079</v>
      </c>
      <c r="C447" s="2" t="s">
        <v>1518</v>
      </c>
      <c r="D447" s="2" t="s">
        <v>1519</v>
      </c>
      <c r="E447" s="2" t="s">
        <v>13</v>
      </c>
      <c r="F447" s="2">
        <v>2011</v>
      </c>
      <c r="G447" s="3">
        <v>41622</v>
      </c>
      <c r="H447" s="2" t="s">
        <v>1520</v>
      </c>
      <c r="I447" s="2" t="s">
        <v>15</v>
      </c>
      <c r="J447" s="2" t="s">
        <v>1521</v>
      </c>
    </row>
    <row r="448" spans="1:10" x14ac:dyDescent="0.25">
      <c r="A448" s="2" t="s">
        <v>10</v>
      </c>
      <c r="B448" s="2" t="str">
        <f>"9780071746106"</f>
        <v>9780071746106</v>
      </c>
      <c r="C448" s="2" t="s">
        <v>1522</v>
      </c>
      <c r="D448" s="2" t="s">
        <v>1523</v>
      </c>
      <c r="E448" s="2" t="s">
        <v>13</v>
      </c>
      <c r="F448" s="2" t="s">
        <v>1524</v>
      </c>
      <c r="G448" s="3">
        <v>40909</v>
      </c>
      <c r="H448" s="2" t="s">
        <v>1525</v>
      </c>
      <c r="I448" s="2" t="s">
        <v>15</v>
      </c>
      <c r="J448" s="2" t="s">
        <v>1526</v>
      </c>
    </row>
    <row r="449" spans="1:10" x14ac:dyDescent="0.25">
      <c r="A449" s="2" t="s">
        <v>10</v>
      </c>
      <c r="B449" s="2" t="str">
        <f>"9780071713320"</f>
        <v>9780071713320</v>
      </c>
      <c r="C449" s="2" t="s">
        <v>1527</v>
      </c>
      <c r="D449" s="2" t="s">
        <v>1528</v>
      </c>
      <c r="E449" s="2" t="s">
        <v>13</v>
      </c>
      <c r="F449" s="2" t="s">
        <v>1529</v>
      </c>
      <c r="G449" s="3">
        <v>40909</v>
      </c>
      <c r="H449" s="2" t="s">
        <v>396</v>
      </c>
      <c r="I449" s="2" t="s">
        <v>15</v>
      </c>
      <c r="J449" s="2" t="s">
        <v>1530</v>
      </c>
    </row>
    <row r="450" spans="1:10" x14ac:dyDescent="0.25">
      <c r="A450" s="2" t="s">
        <v>10</v>
      </c>
      <c r="B450" s="2" t="str">
        <f>"9780071753661"</f>
        <v>9780071753661</v>
      </c>
      <c r="C450" s="2" t="s">
        <v>1531</v>
      </c>
      <c r="D450" s="2" t="s">
        <v>634</v>
      </c>
      <c r="E450" s="2" t="s">
        <v>13</v>
      </c>
      <c r="F450" s="2">
        <v>2012</v>
      </c>
      <c r="G450" s="3">
        <v>41311</v>
      </c>
      <c r="H450" s="2" t="s">
        <v>1532</v>
      </c>
      <c r="I450" s="2" t="s">
        <v>15</v>
      </c>
      <c r="J450" s="2" t="s">
        <v>1533</v>
      </c>
    </row>
    <row r="451" spans="1:10" x14ac:dyDescent="0.25">
      <c r="A451" s="2" t="s">
        <v>10</v>
      </c>
      <c r="B451" s="2" t="str">
        <f>"9780071719513"</f>
        <v>9780071719513</v>
      </c>
      <c r="C451" s="2" t="s">
        <v>1534</v>
      </c>
      <c r="D451" s="2" t="s">
        <v>1535</v>
      </c>
      <c r="E451" s="2" t="s">
        <v>13</v>
      </c>
      <c r="F451" s="2">
        <v>2013</v>
      </c>
      <c r="G451" s="3">
        <v>41450</v>
      </c>
      <c r="H451" s="2" t="s">
        <v>678</v>
      </c>
      <c r="I451" s="2" t="s">
        <v>15</v>
      </c>
      <c r="J451" s="2" t="s">
        <v>1536</v>
      </c>
    </row>
    <row r="452" spans="1:10" hidden="1" x14ac:dyDescent="0.25">
      <c r="A452" s="2" t="s">
        <v>10</v>
      </c>
      <c r="B452" s="2" t="str">
        <f>"9780071750240"</f>
        <v>9780071750240</v>
      </c>
      <c r="C452" s="2" t="s">
        <v>1537</v>
      </c>
      <c r="D452" s="2" t="s">
        <v>1538</v>
      </c>
      <c r="E452" s="2" t="s">
        <v>13</v>
      </c>
      <c r="F452" s="2">
        <v>2011</v>
      </c>
      <c r="G452" s="3">
        <v>41727</v>
      </c>
      <c r="I452" s="2" t="s">
        <v>44</v>
      </c>
      <c r="J452" s="2" t="s">
        <v>1539</v>
      </c>
    </row>
    <row r="453" spans="1:10" hidden="1" x14ac:dyDescent="0.25">
      <c r="A453" s="2" t="s">
        <v>10</v>
      </c>
      <c r="B453" s="2" t="str">
        <f>"9780071772129"</f>
        <v>9780071772129</v>
      </c>
      <c r="C453" s="2" t="s">
        <v>1540</v>
      </c>
      <c r="D453" s="2" t="s">
        <v>1541</v>
      </c>
      <c r="E453" s="2" t="s">
        <v>13</v>
      </c>
      <c r="F453" s="2">
        <v>2011</v>
      </c>
      <c r="G453" s="3">
        <v>41450</v>
      </c>
      <c r="I453" s="2" t="s">
        <v>44</v>
      </c>
      <c r="J453" s="2" t="s">
        <v>1542</v>
      </c>
    </row>
    <row r="454" spans="1:10" x14ac:dyDescent="0.25">
      <c r="A454" s="2" t="s">
        <v>10</v>
      </c>
      <c r="B454" s="2" t="str">
        <f>"9780071770200"</f>
        <v>9780071770200</v>
      </c>
      <c r="C454" s="2" t="s">
        <v>1543</v>
      </c>
      <c r="D454" s="2" t="s">
        <v>1544</v>
      </c>
      <c r="E454" s="2" t="s">
        <v>13</v>
      </c>
      <c r="F454" s="2">
        <v>2011</v>
      </c>
      <c r="G454" s="3">
        <v>41239</v>
      </c>
      <c r="H454" s="2" t="s">
        <v>654</v>
      </c>
      <c r="I454" s="2" t="s">
        <v>15</v>
      </c>
      <c r="J454" s="2" t="s">
        <v>1545</v>
      </c>
    </row>
    <row r="455" spans="1:10" x14ac:dyDescent="0.25">
      <c r="A455" s="2" t="s">
        <v>10</v>
      </c>
      <c r="B455" s="2" t="str">
        <f>"9780071761550"</f>
        <v>9780071761550</v>
      </c>
      <c r="C455" s="2" t="s">
        <v>1546</v>
      </c>
      <c r="D455" s="2" t="s">
        <v>1547</v>
      </c>
      <c r="E455" s="2" t="s">
        <v>13</v>
      </c>
      <c r="F455" s="2">
        <v>2012</v>
      </c>
      <c r="G455" s="3">
        <v>41191</v>
      </c>
      <c r="H455" s="2" t="s">
        <v>1548</v>
      </c>
      <c r="I455" s="2" t="s">
        <v>15</v>
      </c>
      <c r="J455" s="2" t="s">
        <v>1549</v>
      </c>
    </row>
    <row r="456" spans="1:10" x14ac:dyDescent="0.25">
      <c r="A456" s="2" t="s">
        <v>10</v>
      </c>
      <c r="B456" s="2" t="str">
        <f>"9780071788557"</f>
        <v>9780071788557</v>
      </c>
      <c r="C456" s="2" t="s">
        <v>1550</v>
      </c>
      <c r="D456" s="2" t="s">
        <v>1551</v>
      </c>
      <c r="E456" s="2" t="s">
        <v>13</v>
      </c>
      <c r="F456" s="2">
        <v>2012</v>
      </c>
      <c r="G456" s="3">
        <v>41389</v>
      </c>
      <c r="H456" s="2" t="s">
        <v>1552</v>
      </c>
      <c r="I456" s="2" t="s">
        <v>15</v>
      </c>
      <c r="J456" s="2" t="s">
        <v>1553</v>
      </c>
    </row>
    <row r="457" spans="1:10" x14ac:dyDescent="0.25">
      <c r="A457" s="2" t="s">
        <v>10</v>
      </c>
      <c r="B457" s="2" t="str">
        <f>"9780071794282"</f>
        <v>9780071794282</v>
      </c>
      <c r="C457" s="2" t="s">
        <v>1554</v>
      </c>
      <c r="D457" s="2" t="s">
        <v>1555</v>
      </c>
      <c r="E457" s="2" t="s">
        <v>13</v>
      </c>
      <c r="F457" s="2">
        <v>2013</v>
      </c>
      <c r="G457" s="3">
        <v>41605</v>
      </c>
      <c r="H457" s="2" t="s">
        <v>1556</v>
      </c>
      <c r="I457" s="2" t="s">
        <v>15</v>
      </c>
      <c r="J457" s="2" t="s">
        <v>1557</v>
      </c>
    </row>
    <row r="458" spans="1:10" x14ac:dyDescent="0.25">
      <c r="A458" s="2" t="s">
        <v>10</v>
      </c>
      <c r="B458" s="2" t="str">
        <f>"9780071777117"</f>
        <v>9780071777117</v>
      </c>
      <c r="C458" s="2" t="s">
        <v>1558</v>
      </c>
      <c r="D458" s="2" t="s">
        <v>1559</v>
      </c>
      <c r="E458" s="2" t="s">
        <v>13</v>
      </c>
      <c r="F458" s="2">
        <v>2012</v>
      </c>
      <c r="G458" s="3">
        <v>41360</v>
      </c>
      <c r="H458" s="2" t="s">
        <v>485</v>
      </c>
      <c r="I458" s="2" t="s">
        <v>15</v>
      </c>
      <c r="J458" s="2" t="s">
        <v>1560</v>
      </c>
    </row>
    <row r="459" spans="1:10" x14ac:dyDescent="0.25">
      <c r="A459" s="2" t="s">
        <v>10</v>
      </c>
      <c r="B459" s="2" t="str">
        <f>"9780071780780"</f>
        <v>9780071780780</v>
      </c>
      <c r="C459" s="2" t="s">
        <v>1561</v>
      </c>
      <c r="D459" s="2" t="s">
        <v>673</v>
      </c>
      <c r="E459" s="2" t="s">
        <v>13</v>
      </c>
      <c r="F459" s="2">
        <v>2012</v>
      </c>
      <c r="G459" s="3">
        <v>42095</v>
      </c>
      <c r="H459" s="2" t="s">
        <v>1562</v>
      </c>
      <c r="I459" s="2" t="s">
        <v>15</v>
      </c>
      <c r="J459" s="2" t="s">
        <v>1563</v>
      </c>
    </row>
    <row r="460" spans="1:10" x14ac:dyDescent="0.25">
      <c r="A460" s="2" t="s">
        <v>10</v>
      </c>
      <c r="B460" s="2" t="str">
        <f>"9780071790222"</f>
        <v>9780071790222</v>
      </c>
      <c r="C460" s="2" t="s">
        <v>1564</v>
      </c>
      <c r="D460" s="2" t="s">
        <v>1565</v>
      </c>
      <c r="E460" s="2" t="s">
        <v>13</v>
      </c>
      <c r="F460" s="2">
        <v>2013</v>
      </c>
      <c r="G460" s="3">
        <v>41622</v>
      </c>
      <c r="H460" s="2" t="s">
        <v>744</v>
      </c>
      <c r="I460" s="2" t="s">
        <v>15</v>
      </c>
      <c r="J460" s="2" t="s">
        <v>1566</v>
      </c>
    </row>
    <row r="461" spans="1:10" x14ac:dyDescent="0.25">
      <c r="A461" s="2" t="s">
        <v>10</v>
      </c>
      <c r="B461" s="2" t="str">
        <f>"9780071789943"</f>
        <v>9780071789943</v>
      </c>
      <c r="C461" s="2" t="s">
        <v>1567</v>
      </c>
      <c r="D461" s="2" t="s">
        <v>1568</v>
      </c>
      <c r="E461" s="2" t="s">
        <v>13</v>
      </c>
      <c r="F461" s="2">
        <v>2014</v>
      </c>
      <c r="G461" s="3">
        <v>41971</v>
      </c>
      <c r="H461" s="2" t="s">
        <v>1569</v>
      </c>
      <c r="I461" s="2" t="s">
        <v>15</v>
      </c>
      <c r="J461" s="2" t="s">
        <v>1570</v>
      </c>
    </row>
    <row r="462" spans="1:10" x14ac:dyDescent="0.25">
      <c r="A462" s="2" t="s">
        <v>10</v>
      </c>
      <c r="B462" s="2" t="str">
        <f>"9780071761123"</f>
        <v>9780071761123</v>
      </c>
      <c r="C462" s="2" t="s">
        <v>1571</v>
      </c>
      <c r="D462" s="2" t="s">
        <v>1572</v>
      </c>
      <c r="E462" s="2" t="s">
        <v>13</v>
      </c>
      <c r="F462" s="2">
        <v>2014</v>
      </c>
      <c r="G462" s="3">
        <v>41727</v>
      </c>
      <c r="H462" s="2" t="s">
        <v>373</v>
      </c>
      <c r="I462" s="2" t="s">
        <v>15</v>
      </c>
      <c r="J462" s="2" t="s">
        <v>1573</v>
      </c>
    </row>
    <row r="463" spans="1:10" x14ac:dyDescent="0.25">
      <c r="A463" s="2" t="s">
        <v>10</v>
      </c>
      <c r="B463" s="2" t="str">
        <f>"9780071768047"</f>
        <v>9780071768047</v>
      </c>
      <c r="C463" s="2" t="s">
        <v>1574</v>
      </c>
      <c r="D463" s="2" t="s">
        <v>1428</v>
      </c>
      <c r="E463" s="2" t="s">
        <v>13</v>
      </c>
      <c r="F463" s="2">
        <v>2012</v>
      </c>
      <c r="G463" s="3">
        <v>41249</v>
      </c>
      <c r="H463" s="2" t="s">
        <v>1575</v>
      </c>
      <c r="I463" s="2" t="s">
        <v>15</v>
      </c>
      <c r="J463" s="2" t="s">
        <v>1576</v>
      </c>
    </row>
    <row r="464" spans="1:10" x14ac:dyDescent="0.25">
      <c r="A464" s="2" t="s">
        <v>10</v>
      </c>
      <c r="B464" s="2" t="str">
        <f>"9780071795531"</f>
        <v>9780071795531</v>
      </c>
      <c r="C464" s="2" t="s">
        <v>1577</v>
      </c>
      <c r="D464" s="2" t="s">
        <v>1578</v>
      </c>
      <c r="E464" s="2" t="s">
        <v>13</v>
      </c>
      <c r="F464" s="2">
        <v>2013</v>
      </c>
      <c r="G464" s="3">
        <v>41248</v>
      </c>
      <c r="H464" s="2" t="s">
        <v>1290</v>
      </c>
      <c r="I464" s="2" t="s">
        <v>15</v>
      </c>
      <c r="J464" s="2" t="s">
        <v>1579</v>
      </c>
    </row>
    <row r="465" spans="1:10" hidden="1" x14ac:dyDescent="0.25">
      <c r="A465" s="2" t="s">
        <v>10</v>
      </c>
      <c r="B465" s="2" t="str">
        <f>"9780071771337"</f>
        <v>9780071771337</v>
      </c>
      <c r="C465" s="2" t="s">
        <v>1580</v>
      </c>
      <c r="D465" s="2" t="s">
        <v>1581</v>
      </c>
      <c r="E465" s="2" t="s">
        <v>13</v>
      </c>
      <c r="F465" s="2">
        <v>2013</v>
      </c>
      <c r="G465" s="3">
        <v>42095</v>
      </c>
      <c r="I465" s="2" t="s">
        <v>44</v>
      </c>
      <c r="J465" s="2" t="s">
        <v>1582</v>
      </c>
    </row>
    <row r="466" spans="1:10" x14ac:dyDescent="0.25">
      <c r="A466" s="2" t="s">
        <v>10</v>
      </c>
      <c r="B466" s="2" t="str">
        <f>"9780071790673"</f>
        <v>9780071790673</v>
      </c>
      <c r="C466" s="2" t="s">
        <v>1583</v>
      </c>
      <c r="D466" s="2" t="s">
        <v>1383</v>
      </c>
      <c r="E466" s="2" t="s">
        <v>13</v>
      </c>
      <c r="F466" s="2">
        <v>2015</v>
      </c>
      <c r="G466" s="3">
        <v>42063</v>
      </c>
      <c r="H466" s="2" t="s">
        <v>1384</v>
      </c>
      <c r="I466" s="2" t="s">
        <v>15</v>
      </c>
      <c r="J466" s="2" t="s">
        <v>1584</v>
      </c>
    </row>
    <row r="467" spans="1:10" x14ac:dyDescent="0.25">
      <c r="A467" s="2" t="s">
        <v>10</v>
      </c>
      <c r="B467" s="2" t="str">
        <f>"9780071759663"</f>
        <v>9780071759663</v>
      </c>
      <c r="C467" s="2" t="s">
        <v>1585</v>
      </c>
      <c r="D467" s="2" t="s">
        <v>1586</v>
      </c>
      <c r="E467" s="2" t="s">
        <v>13</v>
      </c>
      <c r="F467" s="2">
        <v>2012</v>
      </c>
      <c r="G467" s="3">
        <v>41389</v>
      </c>
      <c r="H467" s="2" t="s">
        <v>1587</v>
      </c>
      <c r="I467" s="2" t="s">
        <v>15</v>
      </c>
      <c r="J467" s="2" t="s">
        <v>1588</v>
      </c>
    </row>
    <row r="468" spans="1:10" x14ac:dyDescent="0.25">
      <c r="A468" s="2" t="s">
        <v>10</v>
      </c>
      <c r="B468" s="2" t="str">
        <f>"9780071766852"</f>
        <v>9780071766852</v>
      </c>
      <c r="C468" s="2" t="s">
        <v>1589</v>
      </c>
      <c r="D468" s="2" t="s">
        <v>1590</v>
      </c>
      <c r="E468" s="2" t="s">
        <v>13</v>
      </c>
      <c r="F468" s="2">
        <v>2012</v>
      </c>
      <c r="G468" s="3">
        <v>42000</v>
      </c>
      <c r="H468" s="2" t="s">
        <v>853</v>
      </c>
      <c r="I468" s="2" t="s">
        <v>15</v>
      </c>
      <c r="J468" s="2" t="s">
        <v>1591</v>
      </c>
    </row>
    <row r="469" spans="1:10" hidden="1" x14ac:dyDescent="0.25">
      <c r="A469" s="2" t="s">
        <v>10</v>
      </c>
      <c r="B469" s="2" t="str">
        <f>"9780071762328"</f>
        <v>9780071762328</v>
      </c>
      <c r="C469" s="2" t="s">
        <v>1592</v>
      </c>
      <c r="D469" s="2" t="s">
        <v>430</v>
      </c>
      <c r="E469" s="2" t="s">
        <v>13</v>
      </c>
      <c r="F469" s="2">
        <v>2013</v>
      </c>
      <c r="G469" s="3">
        <v>41332</v>
      </c>
      <c r="I469" s="2" t="s">
        <v>44</v>
      </c>
      <c r="J469" s="2" t="s">
        <v>1593</v>
      </c>
    </row>
    <row r="470" spans="1:10" x14ac:dyDescent="0.25">
      <c r="A470" s="2" t="s">
        <v>10</v>
      </c>
      <c r="B470" s="2" t="str">
        <f>"9780071767187"</f>
        <v>9780071767187</v>
      </c>
      <c r="C470" s="2" t="s">
        <v>1594</v>
      </c>
      <c r="D470" s="2" t="s">
        <v>1595</v>
      </c>
      <c r="E470" s="2" t="s">
        <v>13</v>
      </c>
      <c r="F470" s="2">
        <v>2012</v>
      </c>
      <c r="G470" s="3">
        <v>41303</v>
      </c>
      <c r="H470" s="2" t="s">
        <v>536</v>
      </c>
      <c r="I470" s="2" t="s">
        <v>15</v>
      </c>
      <c r="J470" s="2" t="s">
        <v>1596</v>
      </c>
    </row>
    <row r="471" spans="1:10" x14ac:dyDescent="0.25">
      <c r="A471" s="2" t="s">
        <v>10</v>
      </c>
      <c r="B471" s="2" t="str">
        <f>"9780071767972"</f>
        <v>9780071767972</v>
      </c>
      <c r="C471" s="2" t="s">
        <v>1597</v>
      </c>
      <c r="D471" s="2" t="s">
        <v>1598</v>
      </c>
      <c r="E471" s="2" t="s">
        <v>13</v>
      </c>
      <c r="F471" s="2">
        <v>2012</v>
      </c>
      <c r="G471" s="3">
        <v>41227</v>
      </c>
      <c r="H471" s="2" t="s">
        <v>599</v>
      </c>
      <c r="I471" s="2" t="s">
        <v>15</v>
      </c>
      <c r="J471" s="2" t="s">
        <v>1599</v>
      </c>
    </row>
    <row r="472" spans="1:10" x14ac:dyDescent="0.25">
      <c r="A472" s="2" t="s">
        <v>10</v>
      </c>
      <c r="B472" s="2" t="str">
        <f>"9780071787741"</f>
        <v>9780071787741</v>
      </c>
      <c r="C472" s="2" t="s">
        <v>1600</v>
      </c>
      <c r="D472" s="2" t="s">
        <v>1374</v>
      </c>
      <c r="E472" s="2" t="s">
        <v>13</v>
      </c>
      <c r="F472" s="2">
        <v>2013</v>
      </c>
      <c r="G472" s="3">
        <v>41332</v>
      </c>
      <c r="H472" s="2" t="s">
        <v>853</v>
      </c>
      <c r="I472" s="2" t="s">
        <v>15</v>
      </c>
      <c r="J472" s="2" t="s">
        <v>1601</v>
      </c>
    </row>
    <row r="473" spans="1:10" x14ac:dyDescent="0.25">
      <c r="A473" s="2" t="s">
        <v>10</v>
      </c>
      <c r="B473" s="2" t="str">
        <f>"9780071768962"</f>
        <v>9780071768962</v>
      </c>
      <c r="C473" s="2" t="s">
        <v>1602</v>
      </c>
      <c r="D473" s="2" t="s">
        <v>1034</v>
      </c>
      <c r="E473" s="2" t="s">
        <v>13</v>
      </c>
      <c r="F473" s="2">
        <v>2012</v>
      </c>
      <c r="G473" s="3">
        <v>41227</v>
      </c>
      <c r="H473" s="2" t="s">
        <v>1603</v>
      </c>
      <c r="I473" s="2" t="s">
        <v>15</v>
      </c>
      <c r="J473" s="2" t="s">
        <v>1604</v>
      </c>
    </row>
    <row r="474" spans="1:10" x14ac:dyDescent="0.25">
      <c r="A474" s="2" t="s">
        <v>10</v>
      </c>
      <c r="B474" s="2" t="str">
        <f>"9780071763271"</f>
        <v>9780071763271</v>
      </c>
      <c r="C474" s="2" t="s">
        <v>1605</v>
      </c>
      <c r="D474" s="2" t="s">
        <v>803</v>
      </c>
      <c r="E474" s="2" t="s">
        <v>13</v>
      </c>
      <c r="F474" s="2">
        <v>2011</v>
      </c>
      <c r="G474" s="3">
        <v>41281</v>
      </c>
      <c r="H474" s="2" t="s">
        <v>692</v>
      </c>
      <c r="I474" s="2" t="s">
        <v>15</v>
      </c>
      <c r="J474" s="2" t="s">
        <v>1606</v>
      </c>
    </row>
    <row r="475" spans="1:10" x14ac:dyDescent="0.25">
      <c r="A475" s="2" t="s">
        <v>10</v>
      </c>
      <c r="B475" s="2" t="str">
        <f>"9780071789752"</f>
        <v>9780071789752</v>
      </c>
      <c r="C475" s="2" t="s">
        <v>1607</v>
      </c>
      <c r="D475" s="2" t="s">
        <v>1608</v>
      </c>
      <c r="E475" s="2" t="s">
        <v>13</v>
      </c>
      <c r="F475" s="2">
        <v>2014</v>
      </c>
      <c r="G475" s="3">
        <v>43061</v>
      </c>
      <c r="H475" s="2" t="s">
        <v>1609</v>
      </c>
      <c r="I475" s="2" t="s">
        <v>15</v>
      </c>
      <c r="J475" s="2" t="s">
        <v>1610</v>
      </c>
    </row>
    <row r="476" spans="1:10" hidden="1" x14ac:dyDescent="0.25">
      <c r="A476" s="2" t="s">
        <v>10</v>
      </c>
      <c r="B476" s="2" t="str">
        <f>"9780071784221"</f>
        <v>9780071784221</v>
      </c>
      <c r="C476" s="2" t="s">
        <v>1611</v>
      </c>
      <c r="D476" s="2" t="s">
        <v>1383</v>
      </c>
      <c r="E476" s="2" t="s">
        <v>13</v>
      </c>
      <c r="F476" s="2">
        <v>2012</v>
      </c>
      <c r="G476" s="3">
        <v>42095</v>
      </c>
      <c r="I476" s="2" t="s">
        <v>44</v>
      </c>
      <c r="J476" s="2" t="s">
        <v>1612</v>
      </c>
    </row>
    <row r="477" spans="1:10" x14ac:dyDescent="0.25">
      <c r="A477" s="2" t="s">
        <v>10</v>
      </c>
      <c r="B477" s="2" t="str">
        <f>"9780071789714"</f>
        <v>9780071789714</v>
      </c>
      <c r="C477" s="2" t="s">
        <v>1613</v>
      </c>
      <c r="D477" s="2" t="s">
        <v>386</v>
      </c>
      <c r="E477" s="2" t="s">
        <v>13</v>
      </c>
      <c r="F477" s="2">
        <v>2012</v>
      </c>
      <c r="G477" s="3">
        <v>41302</v>
      </c>
      <c r="H477" s="2" t="s">
        <v>1513</v>
      </c>
      <c r="I477" s="2" t="s">
        <v>15</v>
      </c>
      <c r="J477" s="2" t="s">
        <v>1614</v>
      </c>
    </row>
    <row r="478" spans="1:10" hidden="1" x14ac:dyDescent="0.25">
      <c r="A478" s="2" t="s">
        <v>10</v>
      </c>
      <c r="B478" s="2" t="str">
        <f>"9780071784115"</f>
        <v>9780071784115</v>
      </c>
      <c r="C478" s="2" t="s">
        <v>1615</v>
      </c>
      <c r="D478" s="2" t="s">
        <v>1616</v>
      </c>
      <c r="E478" s="2" t="s">
        <v>13</v>
      </c>
      <c r="F478" s="2">
        <v>2013</v>
      </c>
      <c r="G478" s="3">
        <v>41249</v>
      </c>
      <c r="I478" s="2" t="s">
        <v>44</v>
      </c>
      <c r="J478" s="2" t="s">
        <v>1617</v>
      </c>
    </row>
    <row r="479" spans="1:10" x14ac:dyDescent="0.25">
      <c r="A479" s="2" t="s">
        <v>10</v>
      </c>
      <c r="B479" s="2" t="str">
        <f>"9780071792318"</f>
        <v>9780071792318</v>
      </c>
      <c r="C479" s="2" t="s">
        <v>1618</v>
      </c>
      <c r="D479" s="2" t="s">
        <v>1619</v>
      </c>
      <c r="E479" s="2" t="s">
        <v>13</v>
      </c>
      <c r="F479" s="2">
        <v>2014</v>
      </c>
      <c r="G479" s="3">
        <v>41793</v>
      </c>
      <c r="H479" s="2" t="s">
        <v>427</v>
      </c>
      <c r="I479" s="2" t="s">
        <v>15</v>
      </c>
      <c r="J479" s="2" t="s">
        <v>1620</v>
      </c>
    </row>
    <row r="480" spans="1:10" x14ac:dyDescent="0.25">
      <c r="A480" s="2" t="s">
        <v>10</v>
      </c>
      <c r="B480" s="2" t="str">
        <f>"9780071766265"</f>
        <v>9780071766265</v>
      </c>
      <c r="C480" s="2" t="s">
        <v>1621</v>
      </c>
      <c r="D480" s="2" t="s">
        <v>1622</v>
      </c>
      <c r="E480" s="2" t="s">
        <v>13</v>
      </c>
      <c r="F480" s="2">
        <v>2012</v>
      </c>
      <c r="G480" s="3">
        <v>41360</v>
      </c>
      <c r="H480" s="2" t="s">
        <v>1623</v>
      </c>
      <c r="I480" s="2" t="s">
        <v>15</v>
      </c>
      <c r="J480" s="2" t="s">
        <v>1624</v>
      </c>
    </row>
    <row r="481" spans="1:10" x14ac:dyDescent="0.25">
      <c r="A481" s="2" t="s">
        <v>10</v>
      </c>
      <c r="B481" s="2" t="str">
        <f>"9780071766395"</f>
        <v>9780071766395</v>
      </c>
      <c r="C481" s="2" t="s">
        <v>1625</v>
      </c>
      <c r="D481" s="2" t="s">
        <v>1626</v>
      </c>
      <c r="E481" s="2" t="s">
        <v>13</v>
      </c>
      <c r="F481" s="2">
        <v>2012</v>
      </c>
      <c r="G481" s="3">
        <v>41450</v>
      </c>
      <c r="H481" s="2" t="s">
        <v>99</v>
      </c>
      <c r="I481" s="2" t="s">
        <v>15</v>
      </c>
      <c r="J481" s="2" t="s">
        <v>1627</v>
      </c>
    </row>
    <row r="482" spans="1:10" x14ac:dyDescent="0.25">
      <c r="A482" s="2" t="s">
        <v>10</v>
      </c>
      <c r="B482" s="2" t="str">
        <f>"9780071775960"</f>
        <v>9780071775960</v>
      </c>
      <c r="C482" s="2" t="s">
        <v>1628</v>
      </c>
      <c r="D482" s="2" t="s">
        <v>1383</v>
      </c>
      <c r="E482" s="2" t="s">
        <v>13</v>
      </c>
      <c r="F482" s="2">
        <v>2012</v>
      </c>
      <c r="G482" s="3">
        <v>42077</v>
      </c>
      <c r="H482" s="2" t="s">
        <v>1384</v>
      </c>
      <c r="I482" s="2" t="s">
        <v>15</v>
      </c>
      <c r="J482" s="2" t="s">
        <v>1629</v>
      </c>
    </row>
    <row r="483" spans="1:10" hidden="1" x14ac:dyDescent="0.25">
      <c r="A483" s="2" t="s">
        <v>10</v>
      </c>
      <c r="B483" s="2" t="str">
        <f>"9780071763059"</f>
        <v>9780071763059</v>
      </c>
      <c r="C483" s="2" t="s">
        <v>1630</v>
      </c>
      <c r="D483" s="2" t="s">
        <v>1631</v>
      </c>
      <c r="E483" s="2" t="s">
        <v>13</v>
      </c>
      <c r="F483" s="2">
        <v>2012</v>
      </c>
      <c r="G483" s="3">
        <v>42122</v>
      </c>
      <c r="I483" s="2" t="s">
        <v>44</v>
      </c>
      <c r="J483" s="2" t="s">
        <v>1632</v>
      </c>
    </row>
    <row r="484" spans="1:10" hidden="1" x14ac:dyDescent="0.25">
      <c r="A484" s="2" t="s">
        <v>10</v>
      </c>
      <c r="B484" s="2" t="str">
        <f>"9780071756150"</f>
        <v>9780071756150</v>
      </c>
      <c r="C484" s="2" t="s">
        <v>1633</v>
      </c>
      <c r="D484" s="2" t="s">
        <v>1634</v>
      </c>
      <c r="E484" s="2" t="s">
        <v>13</v>
      </c>
      <c r="F484" s="2">
        <v>2011</v>
      </c>
      <c r="G484" s="3">
        <v>42207</v>
      </c>
      <c r="I484" s="2" t="s">
        <v>44</v>
      </c>
      <c r="J484" s="2" t="s">
        <v>1635</v>
      </c>
    </row>
    <row r="485" spans="1:10" x14ac:dyDescent="0.25">
      <c r="A485" s="2" t="s">
        <v>10</v>
      </c>
      <c r="B485" s="2" t="str">
        <f>"9780071761338"</f>
        <v>9780071761338</v>
      </c>
      <c r="C485" s="2" t="s">
        <v>1636</v>
      </c>
      <c r="D485" s="2" t="s">
        <v>386</v>
      </c>
      <c r="E485" s="2" t="s">
        <v>13</v>
      </c>
      <c r="F485" s="2">
        <v>2011</v>
      </c>
      <c r="G485" s="3">
        <v>41257</v>
      </c>
      <c r="H485" s="2" t="s">
        <v>1513</v>
      </c>
      <c r="I485" s="2" t="s">
        <v>15</v>
      </c>
      <c r="J485" s="2" t="s">
        <v>1637</v>
      </c>
    </row>
    <row r="486" spans="1:10" x14ac:dyDescent="0.25">
      <c r="A486" s="2" t="s">
        <v>10</v>
      </c>
      <c r="B486" s="2" t="str">
        <f>"9780071772266"</f>
        <v>9780071772266</v>
      </c>
      <c r="C486" s="2" t="s">
        <v>1638</v>
      </c>
      <c r="D486" s="2" t="s">
        <v>1639</v>
      </c>
      <c r="E486" s="2" t="s">
        <v>13</v>
      </c>
      <c r="F486" s="2">
        <v>2011</v>
      </c>
      <c r="G486" s="3">
        <v>41879</v>
      </c>
      <c r="H486" s="2" t="s">
        <v>344</v>
      </c>
      <c r="I486" s="2" t="s">
        <v>15</v>
      </c>
      <c r="J486" s="2" t="s">
        <v>1640</v>
      </c>
    </row>
    <row r="487" spans="1:10" hidden="1" x14ac:dyDescent="0.25">
      <c r="A487" s="2" t="s">
        <v>10</v>
      </c>
      <c r="B487" s="2" t="str">
        <f>"9780071777148"</f>
        <v>9780071777148</v>
      </c>
      <c r="C487" s="2" t="s">
        <v>1641</v>
      </c>
      <c r="D487" s="2" t="s">
        <v>1642</v>
      </c>
      <c r="E487" s="2" t="s">
        <v>13</v>
      </c>
      <c r="F487" s="2">
        <v>2013</v>
      </c>
      <c r="G487" s="3">
        <v>42455</v>
      </c>
      <c r="I487" s="2" t="s">
        <v>44</v>
      </c>
      <c r="J487" s="2" t="s">
        <v>1643</v>
      </c>
    </row>
    <row r="488" spans="1:10" x14ac:dyDescent="0.25">
      <c r="A488" s="2" t="s">
        <v>10</v>
      </c>
      <c r="B488" s="2" t="str">
        <f>"9780071793056"</f>
        <v>9780071793056</v>
      </c>
      <c r="C488" s="2" t="s">
        <v>1644</v>
      </c>
      <c r="D488" s="2" t="s">
        <v>1645</v>
      </c>
      <c r="E488" s="2" t="s">
        <v>13</v>
      </c>
      <c r="F488" s="2">
        <v>2014</v>
      </c>
      <c r="G488" s="3">
        <v>41912</v>
      </c>
      <c r="H488" s="2" t="s">
        <v>1646</v>
      </c>
      <c r="I488" s="2" t="s">
        <v>15</v>
      </c>
      <c r="J488" s="2" t="s">
        <v>1647</v>
      </c>
    </row>
    <row r="489" spans="1:10" x14ac:dyDescent="0.25">
      <c r="A489" s="2" t="s">
        <v>10</v>
      </c>
      <c r="B489" s="2" t="str">
        <f>"9780071765633"</f>
        <v>9780071765633</v>
      </c>
      <c r="C489" s="2" t="s">
        <v>1648</v>
      </c>
      <c r="D489" s="2" t="s">
        <v>1649</v>
      </c>
      <c r="E489" s="2" t="s">
        <v>13</v>
      </c>
      <c r="F489" s="2">
        <v>2013</v>
      </c>
      <c r="G489" s="3">
        <v>41670</v>
      </c>
      <c r="H489" s="2" t="s">
        <v>1069</v>
      </c>
      <c r="I489" s="2" t="s">
        <v>15</v>
      </c>
      <c r="J489" s="2" t="s">
        <v>1650</v>
      </c>
    </row>
    <row r="490" spans="1:10" hidden="1" x14ac:dyDescent="0.25">
      <c r="A490" s="2" t="s">
        <v>10</v>
      </c>
      <c r="B490" s="2" t="str">
        <f>"9780071787727"</f>
        <v>9780071787727</v>
      </c>
      <c r="C490" s="2" t="s">
        <v>1651</v>
      </c>
      <c r="D490" s="2" t="s">
        <v>1652</v>
      </c>
      <c r="E490" s="2" t="s">
        <v>13</v>
      </c>
      <c r="F490" s="2">
        <v>2012</v>
      </c>
      <c r="G490" s="3">
        <v>41331</v>
      </c>
      <c r="I490" s="2" t="s">
        <v>44</v>
      </c>
      <c r="J490" s="2" t="s">
        <v>1653</v>
      </c>
    </row>
    <row r="491" spans="1:10" x14ac:dyDescent="0.25">
      <c r="A491" s="2" t="s">
        <v>10</v>
      </c>
      <c r="B491" s="2" t="str">
        <f>"9780071772877"</f>
        <v>9780071772877</v>
      </c>
      <c r="C491" s="2" t="s">
        <v>1654</v>
      </c>
      <c r="D491" s="2" t="s">
        <v>1108</v>
      </c>
      <c r="E491" s="2" t="s">
        <v>13</v>
      </c>
      <c r="F491" s="2">
        <v>2012</v>
      </c>
      <c r="G491" s="3">
        <v>41389</v>
      </c>
      <c r="H491" s="2" t="s">
        <v>740</v>
      </c>
      <c r="I491" s="2" t="s">
        <v>15</v>
      </c>
      <c r="J491" s="2" t="s">
        <v>1655</v>
      </c>
    </row>
    <row r="492" spans="1:10" x14ac:dyDescent="0.25">
      <c r="A492" s="2" t="s">
        <v>10</v>
      </c>
      <c r="B492" s="2" t="str">
        <f>"9780071772891"</f>
        <v>9780071772891</v>
      </c>
      <c r="C492" s="2" t="s">
        <v>1656</v>
      </c>
      <c r="D492" s="2" t="s">
        <v>1657</v>
      </c>
      <c r="E492" s="2" t="s">
        <v>13</v>
      </c>
      <c r="F492" s="2">
        <v>2014</v>
      </c>
      <c r="G492" s="3">
        <v>41851</v>
      </c>
      <c r="H492" s="2" t="s">
        <v>1658</v>
      </c>
      <c r="I492" s="2" t="s">
        <v>15</v>
      </c>
      <c r="J492" s="2" t="s">
        <v>1659</v>
      </c>
    </row>
    <row r="493" spans="1:10" hidden="1" x14ac:dyDescent="0.25">
      <c r="A493" s="2" t="s">
        <v>10</v>
      </c>
      <c r="B493" s="2" t="str">
        <f>"9780071794565"</f>
        <v>9780071794565</v>
      </c>
      <c r="C493" s="2" t="s">
        <v>1660</v>
      </c>
      <c r="D493" s="2" t="s">
        <v>1661</v>
      </c>
      <c r="E493" s="2" t="s">
        <v>13</v>
      </c>
      <c r="F493" s="2">
        <v>2013</v>
      </c>
      <c r="G493" s="3">
        <v>41408</v>
      </c>
      <c r="I493" s="2" t="s">
        <v>44</v>
      </c>
      <c r="J493" s="2" t="s">
        <v>1662</v>
      </c>
    </row>
    <row r="494" spans="1:10" x14ac:dyDescent="0.25">
      <c r="A494" s="2" t="s">
        <v>10</v>
      </c>
      <c r="B494" s="2" t="str">
        <f>"9780071769471"</f>
        <v>9780071769471</v>
      </c>
      <c r="C494" s="2" t="s">
        <v>1663</v>
      </c>
      <c r="D494" s="2" t="s">
        <v>1664</v>
      </c>
      <c r="E494" s="2" t="s">
        <v>13</v>
      </c>
      <c r="F494" s="2">
        <v>2013</v>
      </c>
      <c r="G494" s="3">
        <v>41912</v>
      </c>
      <c r="H494" s="2" t="s">
        <v>281</v>
      </c>
      <c r="I494" s="2" t="s">
        <v>15</v>
      </c>
      <c r="J494" s="2" t="s">
        <v>1665</v>
      </c>
    </row>
    <row r="495" spans="1:10" x14ac:dyDescent="0.25">
      <c r="A495" s="2" t="s">
        <v>10</v>
      </c>
      <c r="B495" s="2" t="str">
        <f>"9780071771115"</f>
        <v>9780071771115</v>
      </c>
      <c r="C495" s="2" t="s">
        <v>1666</v>
      </c>
      <c r="D495" s="2" t="s">
        <v>1667</v>
      </c>
      <c r="E495" s="2" t="s">
        <v>13</v>
      </c>
      <c r="F495" s="2">
        <v>2011</v>
      </c>
      <c r="G495" s="3">
        <v>41879</v>
      </c>
      <c r="H495" s="2" t="s">
        <v>281</v>
      </c>
      <c r="I495" s="2" t="s">
        <v>15</v>
      </c>
      <c r="J495" s="2" t="s">
        <v>1668</v>
      </c>
    </row>
    <row r="496" spans="1:10" x14ac:dyDescent="0.25">
      <c r="A496" s="2" t="s">
        <v>10</v>
      </c>
      <c r="B496" s="2" t="str">
        <f>"9780071771917"</f>
        <v>9780071771917</v>
      </c>
      <c r="C496" s="2" t="s">
        <v>1669</v>
      </c>
      <c r="D496" s="2" t="s">
        <v>1670</v>
      </c>
      <c r="E496" s="2" t="s">
        <v>13</v>
      </c>
      <c r="F496" s="2">
        <v>2013</v>
      </c>
      <c r="G496" s="3">
        <v>42273</v>
      </c>
      <c r="H496" s="2" t="s">
        <v>853</v>
      </c>
      <c r="I496" s="2" t="s">
        <v>15</v>
      </c>
      <c r="J496" s="2" t="s">
        <v>1671</v>
      </c>
    </row>
    <row r="497" spans="1:10" x14ac:dyDescent="0.25">
      <c r="A497" s="2" t="s">
        <v>10</v>
      </c>
      <c r="B497" s="2" t="str">
        <f>"9780071792387"</f>
        <v>9780071792387</v>
      </c>
      <c r="C497" s="2" t="s">
        <v>1672</v>
      </c>
      <c r="D497" s="2" t="s">
        <v>386</v>
      </c>
      <c r="E497" s="2" t="s">
        <v>13</v>
      </c>
      <c r="F497" s="2">
        <v>2012</v>
      </c>
      <c r="G497" s="3">
        <v>41912</v>
      </c>
      <c r="H497" s="2" t="s">
        <v>1513</v>
      </c>
      <c r="I497" s="2" t="s">
        <v>15</v>
      </c>
      <c r="J497" s="2" t="s">
        <v>1673</v>
      </c>
    </row>
    <row r="498" spans="1:10" hidden="1" x14ac:dyDescent="0.25">
      <c r="A498" s="2" t="s">
        <v>10</v>
      </c>
      <c r="B498" s="2" t="str">
        <f>"9780071795401"</f>
        <v>9780071795401</v>
      </c>
      <c r="C498" s="2" t="s">
        <v>1674</v>
      </c>
      <c r="D498" s="2" t="s">
        <v>1675</v>
      </c>
      <c r="E498" s="2" t="s">
        <v>13</v>
      </c>
      <c r="F498" s="2">
        <v>2013</v>
      </c>
      <c r="G498" s="3">
        <v>41360</v>
      </c>
      <c r="I498" s="2" t="s">
        <v>44</v>
      </c>
      <c r="J498" s="2" t="s">
        <v>1676</v>
      </c>
    </row>
    <row r="499" spans="1:10" x14ac:dyDescent="0.25">
      <c r="A499" s="2" t="s">
        <v>10</v>
      </c>
      <c r="B499" s="2" t="str">
        <f>"9780071775847"</f>
        <v>9780071775847</v>
      </c>
      <c r="C499" s="2" t="s">
        <v>1677</v>
      </c>
      <c r="D499" s="2" t="s">
        <v>1678</v>
      </c>
      <c r="E499" s="2" t="s">
        <v>13</v>
      </c>
      <c r="F499" s="2">
        <v>2013</v>
      </c>
      <c r="G499" s="3">
        <v>42915</v>
      </c>
      <c r="H499" s="2" t="s">
        <v>1679</v>
      </c>
      <c r="I499" s="2" t="s">
        <v>15</v>
      </c>
      <c r="J499" s="2" t="s">
        <v>1680</v>
      </c>
    </row>
    <row r="500" spans="1:10" x14ac:dyDescent="0.25">
      <c r="A500" s="2" t="s">
        <v>10</v>
      </c>
      <c r="B500" s="2" t="str">
        <f>"9780071772341"</f>
        <v>9780071772341</v>
      </c>
      <c r="C500" s="2" t="s">
        <v>1681</v>
      </c>
      <c r="D500" s="2" t="s">
        <v>1682</v>
      </c>
      <c r="E500" s="2" t="s">
        <v>13</v>
      </c>
      <c r="F500" s="2">
        <v>2012</v>
      </c>
      <c r="G500" s="3">
        <v>41281</v>
      </c>
      <c r="H500" s="2" t="s">
        <v>1683</v>
      </c>
      <c r="I500" s="2" t="s">
        <v>15</v>
      </c>
      <c r="J500" s="2" t="s">
        <v>1684</v>
      </c>
    </row>
    <row r="501" spans="1:10" x14ac:dyDescent="0.25">
      <c r="A501" s="2" t="s">
        <v>10</v>
      </c>
      <c r="B501" s="2" t="str">
        <f>"9780071794336"</f>
        <v>9780071794336</v>
      </c>
      <c r="C501" s="2" t="s">
        <v>1685</v>
      </c>
      <c r="D501" s="2" t="s">
        <v>1470</v>
      </c>
      <c r="E501" s="2" t="s">
        <v>13</v>
      </c>
      <c r="F501" s="2">
        <v>2013</v>
      </c>
      <c r="G501" s="3">
        <v>41506</v>
      </c>
      <c r="H501" s="2" t="s">
        <v>1686</v>
      </c>
      <c r="I501" s="2" t="s">
        <v>15</v>
      </c>
      <c r="J501" s="2" t="s">
        <v>1687</v>
      </c>
    </row>
    <row r="502" spans="1:10" x14ac:dyDescent="0.25">
      <c r="A502" s="2" t="s">
        <v>10</v>
      </c>
      <c r="B502" s="2" t="str">
        <f>"9780071770583"</f>
        <v>9780071770583</v>
      </c>
      <c r="C502" s="2" t="s">
        <v>1688</v>
      </c>
      <c r="D502" s="2" t="s">
        <v>1689</v>
      </c>
      <c r="E502" s="2" t="s">
        <v>13</v>
      </c>
      <c r="F502" s="2">
        <v>2013</v>
      </c>
      <c r="G502" s="3">
        <v>41431</v>
      </c>
      <c r="H502" s="2" t="s">
        <v>688</v>
      </c>
      <c r="I502" s="2" t="s">
        <v>15</v>
      </c>
      <c r="J502" s="2" t="s">
        <v>1690</v>
      </c>
    </row>
    <row r="503" spans="1:10" x14ac:dyDescent="0.25">
      <c r="A503" s="2" t="s">
        <v>10</v>
      </c>
      <c r="B503" s="2" t="str">
        <f>"9780071760270"</f>
        <v>9780071760270</v>
      </c>
      <c r="C503" s="2" t="s">
        <v>1691</v>
      </c>
      <c r="D503" s="2" t="s">
        <v>1692</v>
      </c>
      <c r="E503" s="2" t="s">
        <v>13</v>
      </c>
      <c r="F503" s="2">
        <v>2012</v>
      </c>
      <c r="G503" s="3">
        <v>41302</v>
      </c>
      <c r="H503" s="2" t="s">
        <v>1693</v>
      </c>
      <c r="I503" s="2" t="s">
        <v>15</v>
      </c>
      <c r="J503" s="2" t="s">
        <v>1694</v>
      </c>
    </row>
    <row r="504" spans="1:10" hidden="1" x14ac:dyDescent="0.25">
      <c r="A504" s="2" t="s">
        <v>10</v>
      </c>
      <c r="B504" s="2" t="str">
        <f>"9780071795357"</f>
        <v>9780071795357</v>
      </c>
      <c r="C504" s="2" t="s">
        <v>1695</v>
      </c>
      <c r="D504" s="2" t="s">
        <v>1696</v>
      </c>
      <c r="E504" s="2" t="s">
        <v>13</v>
      </c>
      <c r="F504" s="2">
        <v>2013</v>
      </c>
      <c r="G504" s="3">
        <v>41332</v>
      </c>
      <c r="I504" s="2" t="s">
        <v>44</v>
      </c>
      <c r="J504" s="2" t="s">
        <v>1697</v>
      </c>
    </row>
    <row r="505" spans="1:10" x14ac:dyDescent="0.25">
      <c r="A505" s="2" t="s">
        <v>10</v>
      </c>
      <c r="B505" s="2" t="str">
        <f>"9780071789738"</f>
        <v>9780071789738</v>
      </c>
      <c r="C505" s="2" t="s">
        <v>1698</v>
      </c>
      <c r="D505" s="2" t="s">
        <v>1699</v>
      </c>
      <c r="E505" s="2" t="s">
        <v>13</v>
      </c>
      <c r="F505" s="2">
        <v>2012</v>
      </c>
      <c r="G505" s="3">
        <v>41971</v>
      </c>
      <c r="H505" s="2" t="s">
        <v>1700</v>
      </c>
      <c r="I505" s="2" t="s">
        <v>15</v>
      </c>
      <c r="J505" s="2" t="s">
        <v>1701</v>
      </c>
    </row>
    <row r="506" spans="1:10" x14ac:dyDescent="0.25">
      <c r="A506" s="2" t="s">
        <v>10</v>
      </c>
      <c r="B506" s="2" t="str">
        <f>"9780071770187"</f>
        <v>9780071770187</v>
      </c>
      <c r="C506" s="2" t="s">
        <v>1702</v>
      </c>
      <c r="D506" s="2" t="s">
        <v>1703</v>
      </c>
      <c r="E506" s="2" t="s">
        <v>13</v>
      </c>
      <c r="F506" s="2">
        <v>2013</v>
      </c>
      <c r="G506" s="3">
        <v>42429</v>
      </c>
      <c r="H506" s="2" t="s">
        <v>1704</v>
      </c>
      <c r="I506" s="2" t="s">
        <v>15</v>
      </c>
      <c r="J506" s="2" t="s">
        <v>1705</v>
      </c>
    </row>
    <row r="507" spans="1:10" x14ac:dyDescent="0.25">
      <c r="A507" s="2" t="s">
        <v>10</v>
      </c>
      <c r="B507" s="2" t="str">
        <f>"9780071771320"</f>
        <v>9780071771320</v>
      </c>
      <c r="C507" s="2" t="s">
        <v>1706</v>
      </c>
      <c r="D507" s="2" t="s">
        <v>1707</v>
      </c>
      <c r="E507" s="2" t="s">
        <v>13</v>
      </c>
      <c r="F507" s="2">
        <v>2012</v>
      </c>
      <c r="G507" s="3">
        <v>41622</v>
      </c>
      <c r="H507" s="2" t="s">
        <v>344</v>
      </c>
      <c r="I507" s="2" t="s">
        <v>15</v>
      </c>
      <c r="J507" s="2" t="s">
        <v>1708</v>
      </c>
    </row>
    <row r="508" spans="1:10" x14ac:dyDescent="0.25">
      <c r="A508" s="2" t="s">
        <v>10</v>
      </c>
      <c r="B508" s="2" t="str">
        <f>"9780071785143"</f>
        <v>9780071785143</v>
      </c>
      <c r="C508" s="2" t="s">
        <v>1709</v>
      </c>
      <c r="D508" s="2" t="s">
        <v>1710</v>
      </c>
      <c r="E508" s="2" t="s">
        <v>13</v>
      </c>
      <c r="F508" s="2">
        <v>2013</v>
      </c>
      <c r="G508" s="3">
        <v>42333</v>
      </c>
      <c r="H508" s="2" t="s">
        <v>1711</v>
      </c>
      <c r="I508" s="2" t="s">
        <v>15</v>
      </c>
      <c r="J508" s="2" t="s">
        <v>1712</v>
      </c>
    </row>
    <row r="509" spans="1:10" hidden="1" x14ac:dyDescent="0.25">
      <c r="A509" s="2" t="s">
        <v>10</v>
      </c>
      <c r="B509" s="2" t="str">
        <f>"9780071787789"</f>
        <v>9780071787789</v>
      </c>
      <c r="C509" s="2" t="s">
        <v>1713</v>
      </c>
      <c r="D509" s="2" t="s">
        <v>1714</v>
      </c>
      <c r="E509" s="2" t="s">
        <v>13</v>
      </c>
      <c r="F509" s="2">
        <v>2012</v>
      </c>
      <c r="G509" s="3">
        <v>41192</v>
      </c>
      <c r="I509" s="2" t="s">
        <v>44</v>
      </c>
      <c r="J509" s="2" t="s">
        <v>1715</v>
      </c>
    </row>
    <row r="510" spans="1:10" x14ac:dyDescent="0.25">
      <c r="A510" s="2" t="s">
        <v>10</v>
      </c>
      <c r="B510" s="2" t="str">
        <f>"9780071767927"</f>
        <v>9780071767927</v>
      </c>
      <c r="C510" s="2" t="s">
        <v>1716</v>
      </c>
      <c r="D510" s="2" t="s">
        <v>1717</v>
      </c>
      <c r="E510" s="2" t="s">
        <v>13</v>
      </c>
      <c r="F510" s="2">
        <v>2012</v>
      </c>
      <c r="G510" s="3">
        <v>41865</v>
      </c>
      <c r="H510" s="2" t="s">
        <v>1718</v>
      </c>
      <c r="I510" s="2" t="s">
        <v>15</v>
      </c>
      <c r="J510" s="2" t="s">
        <v>1719</v>
      </c>
    </row>
    <row r="511" spans="1:10" x14ac:dyDescent="0.25">
      <c r="A511" s="2" t="s">
        <v>10</v>
      </c>
      <c r="B511" s="2" t="str">
        <f>"9780071782777"</f>
        <v>9780071782777</v>
      </c>
      <c r="C511" s="2" t="s">
        <v>1720</v>
      </c>
      <c r="D511" s="2" t="s">
        <v>1412</v>
      </c>
      <c r="E511" s="2" t="s">
        <v>13</v>
      </c>
      <c r="F511" s="2">
        <v>2013</v>
      </c>
      <c r="G511" s="3">
        <v>42077</v>
      </c>
      <c r="H511" s="2" t="s">
        <v>1721</v>
      </c>
      <c r="I511" s="2" t="s">
        <v>15</v>
      </c>
      <c r="J511" s="2" t="s">
        <v>1722</v>
      </c>
    </row>
    <row r="512" spans="1:10" x14ac:dyDescent="0.25">
      <c r="A512" s="2" t="s">
        <v>10</v>
      </c>
      <c r="B512" s="2" t="str">
        <f>"9780071820684"</f>
        <v>9780071820684</v>
      </c>
      <c r="C512" s="2" t="s">
        <v>1723</v>
      </c>
      <c r="D512" s="2" t="s">
        <v>1724</v>
      </c>
      <c r="E512" s="2" t="s">
        <v>13</v>
      </c>
      <c r="F512" s="2">
        <v>2014</v>
      </c>
      <c r="G512" s="3">
        <v>42943</v>
      </c>
      <c r="H512" s="2" t="s">
        <v>1725</v>
      </c>
      <c r="I512" s="2" t="s">
        <v>15</v>
      </c>
      <c r="J512" s="2" t="s">
        <v>1726</v>
      </c>
    </row>
    <row r="513" spans="1:10" x14ac:dyDescent="0.25">
      <c r="A513" s="2" t="s">
        <v>10</v>
      </c>
      <c r="B513" s="2" t="str">
        <f>"9780071798808"</f>
        <v>9780071798808</v>
      </c>
      <c r="C513" s="2" t="s">
        <v>1727</v>
      </c>
      <c r="D513" s="2" t="s">
        <v>1728</v>
      </c>
      <c r="E513" s="2" t="s">
        <v>13</v>
      </c>
      <c r="F513" s="2">
        <v>2013</v>
      </c>
      <c r="G513" s="3">
        <v>41576</v>
      </c>
      <c r="H513" s="2" t="s">
        <v>853</v>
      </c>
      <c r="I513" s="2" t="s">
        <v>15</v>
      </c>
      <c r="J513" s="2" t="s">
        <v>1729</v>
      </c>
    </row>
    <row r="514" spans="1:10" x14ac:dyDescent="0.25">
      <c r="A514" s="2" t="s">
        <v>10</v>
      </c>
      <c r="B514" s="2" t="str">
        <f>"9780071800655"</f>
        <v>9780071800655</v>
      </c>
      <c r="C514" s="2" t="s">
        <v>1730</v>
      </c>
      <c r="D514" s="2" t="s">
        <v>1731</v>
      </c>
      <c r="E514" s="2" t="s">
        <v>13</v>
      </c>
      <c r="F514" s="2">
        <v>2014</v>
      </c>
      <c r="G514" s="3">
        <v>41851</v>
      </c>
      <c r="H514" s="2" t="s">
        <v>1732</v>
      </c>
      <c r="I514" s="2" t="s">
        <v>15</v>
      </c>
      <c r="J514" s="2" t="s">
        <v>1733</v>
      </c>
    </row>
    <row r="515" spans="1:10" x14ac:dyDescent="0.25">
      <c r="A515" s="2" t="s">
        <v>10</v>
      </c>
      <c r="B515" s="2" t="str">
        <f>"9780071810821"</f>
        <v>9780071810821</v>
      </c>
      <c r="C515" s="2" t="s">
        <v>1734</v>
      </c>
      <c r="D515" s="2" t="s">
        <v>1735</v>
      </c>
      <c r="E515" s="2" t="s">
        <v>13</v>
      </c>
      <c r="F515" s="2">
        <v>2013</v>
      </c>
      <c r="G515" s="3">
        <v>41510</v>
      </c>
      <c r="H515" s="2" t="s">
        <v>599</v>
      </c>
      <c r="I515" s="2" t="s">
        <v>15</v>
      </c>
      <c r="J515" s="2" t="s">
        <v>1736</v>
      </c>
    </row>
    <row r="516" spans="1:10" x14ac:dyDescent="0.25">
      <c r="A516" s="2" t="s">
        <v>10</v>
      </c>
      <c r="B516" s="2" t="str">
        <f>"9780071818674"</f>
        <v>9780071818674</v>
      </c>
      <c r="C516" s="2" t="s">
        <v>1737</v>
      </c>
      <c r="D516" s="2" t="s">
        <v>1054</v>
      </c>
      <c r="E516" s="2" t="s">
        <v>13</v>
      </c>
      <c r="F516" s="2">
        <v>2015</v>
      </c>
      <c r="G516" s="3">
        <v>42152</v>
      </c>
      <c r="H516" s="2" t="s">
        <v>434</v>
      </c>
      <c r="I516" s="2" t="s">
        <v>15</v>
      </c>
      <c r="J516" s="2" t="s">
        <v>1738</v>
      </c>
    </row>
    <row r="517" spans="1:10" x14ac:dyDescent="0.25">
      <c r="A517" s="2" t="s">
        <v>10</v>
      </c>
      <c r="B517" s="2" t="str">
        <f>"9780071819817"</f>
        <v>9780071819817</v>
      </c>
      <c r="C517" s="2" t="s">
        <v>1739</v>
      </c>
      <c r="D517" s="2" t="s">
        <v>1740</v>
      </c>
      <c r="E517" s="2" t="s">
        <v>13</v>
      </c>
      <c r="F517" s="2">
        <v>2014</v>
      </c>
      <c r="G517" s="3">
        <v>41912</v>
      </c>
      <c r="H517" s="2" t="s">
        <v>217</v>
      </c>
      <c r="I517" s="2" t="s">
        <v>15</v>
      </c>
      <c r="J517" s="2" t="s">
        <v>1741</v>
      </c>
    </row>
    <row r="518" spans="1:10" x14ac:dyDescent="0.25">
      <c r="A518" s="2" t="s">
        <v>10</v>
      </c>
      <c r="B518" s="2" t="str">
        <f>"9780071797870"</f>
        <v>9780071797870</v>
      </c>
      <c r="C518" s="2" t="s">
        <v>1742</v>
      </c>
      <c r="D518" s="2" t="s">
        <v>1743</v>
      </c>
      <c r="E518" s="2" t="s">
        <v>13</v>
      </c>
      <c r="F518" s="2">
        <v>2014</v>
      </c>
      <c r="G518" s="3">
        <v>41766</v>
      </c>
      <c r="H518" s="2" t="s">
        <v>1744</v>
      </c>
      <c r="I518" s="2" t="s">
        <v>15</v>
      </c>
      <c r="J518" s="2" t="s">
        <v>1745</v>
      </c>
    </row>
    <row r="519" spans="1:10" x14ac:dyDescent="0.25">
      <c r="A519" s="2" t="s">
        <v>10</v>
      </c>
      <c r="B519" s="2" t="str">
        <f>"9780071798259"</f>
        <v>9780071798259</v>
      </c>
      <c r="C519" s="2" t="s">
        <v>1746</v>
      </c>
      <c r="D519" s="2" t="s">
        <v>1747</v>
      </c>
      <c r="E519" s="2" t="s">
        <v>13</v>
      </c>
      <c r="F519" s="2">
        <v>2013</v>
      </c>
      <c r="G519" s="3">
        <v>41389</v>
      </c>
      <c r="H519" s="2" t="s">
        <v>853</v>
      </c>
      <c r="I519" s="2" t="s">
        <v>15</v>
      </c>
      <c r="J519" s="2" t="s">
        <v>1748</v>
      </c>
    </row>
    <row r="520" spans="1:10" x14ac:dyDescent="0.25">
      <c r="A520" s="2" t="s">
        <v>10</v>
      </c>
      <c r="B520" s="2" t="str">
        <f>"9780071799485"</f>
        <v>9780071799485</v>
      </c>
      <c r="C520" s="2" t="s">
        <v>1749</v>
      </c>
      <c r="D520" s="2" t="s">
        <v>1750</v>
      </c>
      <c r="E520" s="2" t="s">
        <v>13</v>
      </c>
      <c r="F520" s="2">
        <v>2012</v>
      </c>
      <c r="G520" s="3">
        <v>41484</v>
      </c>
      <c r="H520" s="2" t="s">
        <v>236</v>
      </c>
      <c r="I520" s="2" t="s">
        <v>15</v>
      </c>
      <c r="J520" s="2" t="s">
        <v>1751</v>
      </c>
    </row>
    <row r="521" spans="1:10" x14ac:dyDescent="0.25">
      <c r="A521" s="2" t="s">
        <v>10</v>
      </c>
      <c r="B521" s="2" t="str">
        <f>"9780071800129"</f>
        <v>9780071800129</v>
      </c>
      <c r="C521" s="2" t="s">
        <v>1752</v>
      </c>
      <c r="D521" s="2" t="s">
        <v>1753</v>
      </c>
      <c r="E521" s="2" t="s">
        <v>13</v>
      </c>
      <c r="F521" s="2">
        <v>2014</v>
      </c>
      <c r="G521" s="3">
        <v>41851</v>
      </c>
      <c r="H521" s="2" t="s">
        <v>1754</v>
      </c>
      <c r="I521" s="2" t="s">
        <v>15</v>
      </c>
      <c r="J521" s="2" t="s">
        <v>1755</v>
      </c>
    </row>
    <row r="522" spans="1:10" x14ac:dyDescent="0.25">
      <c r="A522" s="2" t="s">
        <v>10</v>
      </c>
      <c r="B522" s="2" t="str">
        <f>"9780071816458"</f>
        <v>9780071816458</v>
      </c>
      <c r="C522" s="2" t="s">
        <v>1756</v>
      </c>
      <c r="D522" s="2" t="s">
        <v>1757</v>
      </c>
      <c r="E522" s="2" t="s">
        <v>13</v>
      </c>
      <c r="F522" s="2">
        <v>2013</v>
      </c>
      <c r="G522" s="3">
        <v>41999</v>
      </c>
      <c r="H522" s="2" t="s">
        <v>1758</v>
      </c>
      <c r="I522" s="2" t="s">
        <v>15</v>
      </c>
      <c r="J522" s="2" t="s">
        <v>1759</v>
      </c>
    </row>
    <row r="523" spans="1:10" x14ac:dyDescent="0.25">
      <c r="A523" s="2" t="s">
        <v>10</v>
      </c>
      <c r="B523" s="2" t="str">
        <f>"9780071801317"</f>
        <v>9780071801317</v>
      </c>
      <c r="C523" s="2" t="s">
        <v>1760</v>
      </c>
      <c r="D523" s="2" t="s">
        <v>1761</v>
      </c>
      <c r="E523" s="2" t="s">
        <v>13</v>
      </c>
      <c r="F523" s="2">
        <v>2013</v>
      </c>
      <c r="G523" s="3">
        <v>41431</v>
      </c>
      <c r="H523" s="2" t="s">
        <v>1762</v>
      </c>
      <c r="I523" s="2" t="s">
        <v>15</v>
      </c>
      <c r="J523" s="2" t="s">
        <v>1763</v>
      </c>
    </row>
    <row r="524" spans="1:10" x14ac:dyDescent="0.25">
      <c r="A524" s="2" t="s">
        <v>10</v>
      </c>
      <c r="B524" s="2" t="str">
        <f>"9780071800044"</f>
        <v>9780071800044</v>
      </c>
      <c r="C524" s="2" t="s">
        <v>1764</v>
      </c>
      <c r="D524" s="2" t="s">
        <v>1765</v>
      </c>
      <c r="E524" s="2" t="s">
        <v>13</v>
      </c>
      <c r="F524" s="2">
        <v>2014</v>
      </c>
      <c r="G524" s="3">
        <v>41964</v>
      </c>
      <c r="H524" s="2" t="s">
        <v>441</v>
      </c>
      <c r="I524" s="2" t="s">
        <v>15</v>
      </c>
      <c r="J524" s="2" t="s">
        <v>1766</v>
      </c>
    </row>
    <row r="525" spans="1:10" x14ac:dyDescent="0.25">
      <c r="A525" s="2" t="s">
        <v>10</v>
      </c>
      <c r="B525" s="2" t="str">
        <f>"9780071799249"</f>
        <v>9780071799249</v>
      </c>
      <c r="C525" s="2" t="s">
        <v>1767</v>
      </c>
      <c r="D525" s="2" t="s">
        <v>1286</v>
      </c>
      <c r="E525" s="2" t="s">
        <v>13</v>
      </c>
      <c r="F525" s="2">
        <v>2013</v>
      </c>
      <c r="G525" s="3">
        <v>41544</v>
      </c>
      <c r="H525" s="2" t="s">
        <v>536</v>
      </c>
      <c r="I525" s="2" t="s">
        <v>15</v>
      </c>
      <c r="J525" s="2" t="s">
        <v>1768</v>
      </c>
    </row>
    <row r="526" spans="1:10" x14ac:dyDescent="0.25">
      <c r="A526" s="2" t="s">
        <v>10</v>
      </c>
      <c r="B526" s="2" t="str">
        <f>"9780071820110"</f>
        <v>9780071820110</v>
      </c>
      <c r="C526" s="2" t="s">
        <v>1769</v>
      </c>
      <c r="D526" s="2" t="s">
        <v>1770</v>
      </c>
      <c r="E526" s="2" t="s">
        <v>13</v>
      </c>
      <c r="F526" s="2">
        <v>2013</v>
      </c>
      <c r="G526" s="3">
        <v>41544</v>
      </c>
      <c r="H526" s="2" t="s">
        <v>1771</v>
      </c>
      <c r="I526" s="2" t="s">
        <v>15</v>
      </c>
      <c r="J526" s="2" t="s">
        <v>1772</v>
      </c>
    </row>
    <row r="527" spans="1:10" x14ac:dyDescent="0.25">
      <c r="A527" s="2" t="s">
        <v>10</v>
      </c>
      <c r="B527" s="2" t="str">
        <f>"9780071812221"</f>
        <v>9780071812221</v>
      </c>
      <c r="C527" s="2" t="s">
        <v>1773</v>
      </c>
      <c r="D527" s="2" t="s">
        <v>1774</v>
      </c>
      <c r="E527" s="2" t="s">
        <v>13</v>
      </c>
      <c r="F527" s="2">
        <v>2014</v>
      </c>
      <c r="G527" s="3">
        <v>41727</v>
      </c>
      <c r="H527" s="2" t="s">
        <v>1775</v>
      </c>
      <c r="I527" s="2" t="s">
        <v>15</v>
      </c>
      <c r="J527" s="2" t="s">
        <v>1776</v>
      </c>
    </row>
    <row r="528" spans="1:10" x14ac:dyDescent="0.25">
      <c r="A528" s="2" t="s">
        <v>10</v>
      </c>
      <c r="B528" s="2" t="str">
        <f>"9780071811118"</f>
        <v>9780071811118</v>
      </c>
      <c r="C528" s="2" t="s">
        <v>1777</v>
      </c>
      <c r="D528" s="2" t="s">
        <v>1778</v>
      </c>
      <c r="E528" s="2" t="s">
        <v>13</v>
      </c>
      <c r="F528" s="2">
        <v>2013</v>
      </c>
      <c r="G528" s="3">
        <v>41510</v>
      </c>
      <c r="H528" s="2" t="s">
        <v>599</v>
      </c>
      <c r="I528" s="2" t="s">
        <v>15</v>
      </c>
      <c r="J528" s="2" t="s">
        <v>1779</v>
      </c>
    </row>
    <row r="529" spans="1:10" hidden="1" x14ac:dyDescent="0.25">
      <c r="A529" s="2" t="s">
        <v>10</v>
      </c>
      <c r="B529" s="2" t="str">
        <f>"9780071819251"</f>
        <v>9780071819251</v>
      </c>
      <c r="C529" s="2" t="s">
        <v>1780</v>
      </c>
      <c r="D529" s="2" t="s">
        <v>1383</v>
      </c>
      <c r="E529" s="2" t="s">
        <v>13</v>
      </c>
      <c r="F529" s="2">
        <v>2014</v>
      </c>
      <c r="G529" s="3">
        <v>42095</v>
      </c>
      <c r="I529" s="2" t="s">
        <v>44</v>
      </c>
      <c r="J529" s="2" t="s">
        <v>1781</v>
      </c>
    </row>
    <row r="530" spans="1:10" hidden="1" x14ac:dyDescent="0.25">
      <c r="A530" s="2" t="s">
        <v>10</v>
      </c>
      <c r="B530" s="2" t="str">
        <f>"9780071811309"</f>
        <v>9780071811309</v>
      </c>
      <c r="C530" s="2" t="s">
        <v>1782</v>
      </c>
      <c r="D530" s="2" t="s">
        <v>1783</v>
      </c>
      <c r="E530" s="2" t="s">
        <v>13</v>
      </c>
      <c r="F530" s="2">
        <v>2013</v>
      </c>
      <c r="G530" s="3">
        <v>41635</v>
      </c>
      <c r="I530" s="2" t="s">
        <v>44</v>
      </c>
      <c r="J530" s="2" t="s">
        <v>1784</v>
      </c>
    </row>
    <row r="531" spans="1:10" x14ac:dyDescent="0.25">
      <c r="A531" s="2" t="s">
        <v>10</v>
      </c>
      <c r="B531" s="2" t="str">
        <f>"9780071803472"</f>
        <v>9780071803472</v>
      </c>
      <c r="C531" s="2" t="s">
        <v>1785</v>
      </c>
      <c r="D531" s="2" t="s">
        <v>1786</v>
      </c>
      <c r="E531" s="2" t="s">
        <v>13</v>
      </c>
      <c r="F531" s="2">
        <v>2015</v>
      </c>
      <c r="G531" s="3">
        <v>42063</v>
      </c>
      <c r="H531" s="2" t="s">
        <v>1787</v>
      </c>
      <c r="I531" s="2" t="s">
        <v>15</v>
      </c>
      <c r="J531" s="2" t="s">
        <v>1788</v>
      </c>
    </row>
    <row r="532" spans="1:10" x14ac:dyDescent="0.25">
      <c r="A532" s="2" t="s">
        <v>10</v>
      </c>
      <c r="B532" s="2" t="str">
        <f>"9780071799706"</f>
        <v>9780071799706</v>
      </c>
      <c r="C532" s="2" t="s">
        <v>1789</v>
      </c>
      <c r="D532" s="2" t="s">
        <v>1790</v>
      </c>
      <c r="E532" s="2" t="s">
        <v>13</v>
      </c>
      <c r="F532" s="2">
        <v>2013</v>
      </c>
      <c r="G532" s="3">
        <v>42077</v>
      </c>
      <c r="H532" s="2" t="s">
        <v>1384</v>
      </c>
      <c r="I532" s="2" t="s">
        <v>15</v>
      </c>
      <c r="J532" s="2" t="s">
        <v>1791</v>
      </c>
    </row>
    <row r="533" spans="1:10" x14ac:dyDescent="0.25">
      <c r="A533" s="2" t="s">
        <v>10</v>
      </c>
      <c r="B533" s="2" t="str">
        <f>"9780071809511"</f>
        <v>9780071809511</v>
      </c>
      <c r="C533" s="2" t="s">
        <v>1792</v>
      </c>
      <c r="D533" s="2" t="s">
        <v>1793</v>
      </c>
      <c r="E533" s="2" t="s">
        <v>13</v>
      </c>
      <c r="F533" s="2">
        <v>2013</v>
      </c>
      <c r="G533" s="3">
        <v>41622</v>
      </c>
      <c r="H533" s="2" t="s">
        <v>1520</v>
      </c>
      <c r="I533" s="2" t="s">
        <v>15</v>
      </c>
      <c r="J533" s="2" t="s">
        <v>1794</v>
      </c>
    </row>
    <row r="534" spans="1:10" x14ac:dyDescent="0.25">
      <c r="A534" s="2" t="s">
        <v>10</v>
      </c>
      <c r="B534" s="2" t="str">
        <f>"9780071818711"</f>
        <v>9780071818711</v>
      </c>
      <c r="C534" s="2" t="s">
        <v>1795</v>
      </c>
      <c r="D534" s="2" t="s">
        <v>1796</v>
      </c>
      <c r="E534" s="2" t="s">
        <v>13</v>
      </c>
      <c r="F534" s="2">
        <v>2014</v>
      </c>
      <c r="G534" s="3">
        <v>41999</v>
      </c>
      <c r="H534" s="2" t="s">
        <v>1797</v>
      </c>
      <c r="I534" s="2" t="s">
        <v>15</v>
      </c>
      <c r="J534" s="2" t="s">
        <v>1798</v>
      </c>
    </row>
    <row r="535" spans="1:10" x14ac:dyDescent="0.25">
      <c r="A535" s="2" t="s">
        <v>10</v>
      </c>
      <c r="B535" s="2" t="str">
        <f>"9780071799171"</f>
        <v>9780071799171</v>
      </c>
      <c r="C535" s="2" t="s">
        <v>1799</v>
      </c>
      <c r="D535" s="2" t="s">
        <v>1800</v>
      </c>
      <c r="E535" s="2" t="s">
        <v>13</v>
      </c>
      <c r="F535" s="2">
        <v>2013</v>
      </c>
      <c r="G535" s="3">
        <v>42819</v>
      </c>
      <c r="H535" s="2" t="s">
        <v>1801</v>
      </c>
      <c r="I535" s="2" t="s">
        <v>15</v>
      </c>
      <c r="J535" s="2" t="s">
        <v>1802</v>
      </c>
    </row>
    <row r="536" spans="1:10" x14ac:dyDescent="0.25">
      <c r="A536" s="2" t="s">
        <v>10</v>
      </c>
      <c r="B536" s="2" t="str">
        <f>"9780071798426"</f>
        <v>9780071798426</v>
      </c>
      <c r="C536" s="2" t="s">
        <v>1803</v>
      </c>
      <c r="D536" s="2" t="s">
        <v>634</v>
      </c>
      <c r="E536" s="2" t="s">
        <v>13</v>
      </c>
      <c r="F536" s="2">
        <v>2014</v>
      </c>
      <c r="G536" s="3">
        <v>41653</v>
      </c>
      <c r="H536" s="2" t="s">
        <v>1804</v>
      </c>
      <c r="I536" s="2" t="s">
        <v>15</v>
      </c>
      <c r="J536" s="2" t="s">
        <v>1805</v>
      </c>
    </row>
    <row r="537" spans="1:10" x14ac:dyDescent="0.25">
      <c r="A537" s="2" t="s">
        <v>10</v>
      </c>
      <c r="B537" s="2" t="str">
        <f>"9780071800020"</f>
        <v>9780071800020</v>
      </c>
      <c r="C537" s="2" t="s">
        <v>1806</v>
      </c>
      <c r="D537" s="2" t="s">
        <v>1807</v>
      </c>
      <c r="E537" s="2" t="s">
        <v>13</v>
      </c>
      <c r="F537" s="2">
        <v>2013</v>
      </c>
      <c r="G537" s="3">
        <v>41491</v>
      </c>
      <c r="H537" s="2" t="s">
        <v>1229</v>
      </c>
      <c r="I537" s="2" t="s">
        <v>15</v>
      </c>
      <c r="J537" s="2" t="s">
        <v>1808</v>
      </c>
    </row>
    <row r="538" spans="1:10" hidden="1" x14ac:dyDescent="0.25">
      <c r="A538" s="2" t="s">
        <v>10</v>
      </c>
      <c r="B538" s="2" t="str">
        <f>"9780071807838"</f>
        <v>9780071807838</v>
      </c>
      <c r="C538" s="2" t="s">
        <v>1809</v>
      </c>
      <c r="D538" s="2" t="s">
        <v>1383</v>
      </c>
      <c r="E538" s="2" t="s">
        <v>13</v>
      </c>
      <c r="F538" s="2">
        <v>2013</v>
      </c>
      <c r="G538" s="3">
        <v>42077</v>
      </c>
      <c r="I538" s="2" t="s">
        <v>44</v>
      </c>
      <c r="J538" s="2" t="s">
        <v>1810</v>
      </c>
    </row>
    <row r="539" spans="1:10" x14ac:dyDescent="0.25">
      <c r="A539" s="2" t="s">
        <v>10</v>
      </c>
      <c r="B539" s="2" t="str">
        <f>"9780071819800"</f>
        <v>9780071819800</v>
      </c>
      <c r="C539" s="2" t="s">
        <v>1811</v>
      </c>
      <c r="D539" s="2" t="s">
        <v>1812</v>
      </c>
      <c r="E539" s="2" t="s">
        <v>13</v>
      </c>
      <c r="F539" s="2">
        <v>2014</v>
      </c>
      <c r="G539" s="3">
        <v>41766</v>
      </c>
      <c r="H539" s="2" t="s">
        <v>1813</v>
      </c>
      <c r="I539" s="2" t="s">
        <v>15</v>
      </c>
      <c r="J539" s="2" t="s">
        <v>1814</v>
      </c>
    </row>
    <row r="540" spans="1:10" x14ac:dyDescent="0.25">
      <c r="A540" s="2" t="s">
        <v>10</v>
      </c>
      <c r="B540" s="2" t="str">
        <f>"9780071819831"</f>
        <v>9780071819831</v>
      </c>
      <c r="C540" s="2" t="s">
        <v>1815</v>
      </c>
      <c r="D540" s="2" t="s">
        <v>1816</v>
      </c>
      <c r="E540" s="2" t="s">
        <v>13</v>
      </c>
      <c r="F540" s="2">
        <v>2014</v>
      </c>
      <c r="G540" s="3">
        <v>41971</v>
      </c>
      <c r="H540" s="2" t="s">
        <v>589</v>
      </c>
      <c r="I540" s="2" t="s">
        <v>15</v>
      </c>
      <c r="J540" s="2" t="s">
        <v>1817</v>
      </c>
    </row>
    <row r="541" spans="1:10" x14ac:dyDescent="0.25">
      <c r="A541" s="2" t="s">
        <v>10</v>
      </c>
      <c r="B541" s="2" t="str">
        <f>"9780071816717"</f>
        <v>9780071816717</v>
      </c>
      <c r="C541" s="2" t="s">
        <v>1818</v>
      </c>
      <c r="D541" s="2" t="s">
        <v>700</v>
      </c>
      <c r="E541" s="2" t="s">
        <v>13</v>
      </c>
      <c r="F541" s="2">
        <v>2014</v>
      </c>
      <c r="G541" s="3">
        <v>41696</v>
      </c>
      <c r="H541" s="2" t="s">
        <v>52</v>
      </c>
      <c r="I541" s="2" t="s">
        <v>15</v>
      </c>
      <c r="J541" s="2" t="s">
        <v>1819</v>
      </c>
    </row>
    <row r="542" spans="1:10" x14ac:dyDescent="0.25">
      <c r="A542" s="2" t="s">
        <v>10</v>
      </c>
      <c r="B542" s="2" t="str">
        <f>"9780071800082"</f>
        <v>9780071800082</v>
      </c>
      <c r="C542" s="2" t="s">
        <v>1820</v>
      </c>
      <c r="D542" s="2" t="s">
        <v>1821</v>
      </c>
      <c r="E542" s="2" t="s">
        <v>13</v>
      </c>
      <c r="F542" s="2">
        <v>2012</v>
      </c>
      <c r="G542" s="3">
        <v>41509</v>
      </c>
      <c r="H542" s="2" t="s">
        <v>60</v>
      </c>
      <c r="I542" s="2" t="s">
        <v>15</v>
      </c>
      <c r="J542" s="2" t="s">
        <v>1822</v>
      </c>
    </row>
    <row r="543" spans="1:10" x14ac:dyDescent="0.25">
      <c r="A543" s="2" t="s">
        <v>10</v>
      </c>
      <c r="B543" s="2" t="str">
        <f>"9780071798327"</f>
        <v>9780071798327</v>
      </c>
      <c r="C543" s="2" t="s">
        <v>1823</v>
      </c>
      <c r="D543" s="2" t="s">
        <v>1824</v>
      </c>
      <c r="E543" s="2" t="s">
        <v>13</v>
      </c>
      <c r="F543" s="2">
        <v>2014</v>
      </c>
      <c r="G543" s="3">
        <v>41816</v>
      </c>
      <c r="H543" s="2" t="s">
        <v>377</v>
      </c>
      <c r="I543" s="2" t="s">
        <v>15</v>
      </c>
      <c r="J543" s="2" t="s">
        <v>1825</v>
      </c>
    </row>
    <row r="544" spans="1:10" x14ac:dyDescent="0.25">
      <c r="A544" s="2" t="s">
        <v>10</v>
      </c>
      <c r="B544" s="2" t="str">
        <f>"9780071800716"</f>
        <v>9780071800716</v>
      </c>
      <c r="C544" s="2" t="s">
        <v>1826</v>
      </c>
      <c r="D544" s="2" t="s">
        <v>1827</v>
      </c>
      <c r="E544" s="2" t="s">
        <v>13</v>
      </c>
      <c r="F544" s="2">
        <v>2013</v>
      </c>
      <c r="G544" s="3">
        <v>42207</v>
      </c>
      <c r="H544" s="2" t="s">
        <v>1828</v>
      </c>
      <c r="I544" s="2" t="s">
        <v>15</v>
      </c>
      <c r="J544" s="2" t="s">
        <v>1829</v>
      </c>
    </row>
    <row r="545" spans="1:10" x14ac:dyDescent="0.25">
      <c r="A545" s="2" t="s">
        <v>10</v>
      </c>
      <c r="B545" s="2" t="str">
        <f>"9780071809894"</f>
        <v>9780071809894</v>
      </c>
      <c r="C545" s="2" t="s">
        <v>1830</v>
      </c>
      <c r="D545" s="2" t="s">
        <v>1831</v>
      </c>
      <c r="E545" s="2" t="s">
        <v>13</v>
      </c>
      <c r="F545" s="2">
        <v>2014</v>
      </c>
      <c r="G545" s="3">
        <v>41766</v>
      </c>
      <c r="H545" s="2" t="s">
        <v>740</v>
      </c>
      <c r="I545" s="2" t="s">
        <v>15</v>
      </c>
      <c r="J545" s="2" t="s">
        <v>1832</v>
      </c>
    </row>
    <row r="546" spans="1:10" x14ac:dyDescent="0.25">
      <c r="A546" s="2" t="s">
        <v>10</v>
      </c>
      <c r="B546" s="2" t="str">
        <f>"9780071815369"</f>
        <v>9780071815369</v>
      </c>
      <c r="C546" s="2" t="s">
        <v>1833</v>
      </c>
      <c r="D546" s="2" t="s">
        <v>1834</v>
      </c>
      <c r="E546" s="2" t="s">
        <v>13</v>
      </c>
      <c r="F546" s="2">
        <v>2014</v>
      </c>
      <c r="G546" s="3">
        <v>41879</v>
      </c>
      <c r="H546" s="2" t="s">
        <v>1453</v>
      </c>
      <c r="I546" s="2" t="s">
        <v>15</v>
      </c>
      <c r="J546" s="2" t="s">
        <v>1835</v>
      </c>
    </row>
    <row r="547" spans="1:10" hidden="1" x14ac:dyDescent="0.25">
      <c r="A547" s="2" t="s">
        <v>10</v>
      </c>
      <c r="B547" s="2" t="str">
        <f>"9780071805469"</f>
        <v>9780071805469</v>
      </c>
      <c r="C547" s="2" t="s">
        <v>1836</v>
      </c>
      <c r="D547" s="2" t="s">
        <v>1837</v>
      </c>
      <c r="E547" s="2" t="s">
        <v>13</v>
      </c>
      <c r="F547" s="2">
        <v>2013</v>
      </c>
      <c r="G547" s="3">
        <v>43496</v>
      </c>
      <c r="I547" s="2" t="s">
        <v>44</v>
      </c>
      <c r="J547" s="2" t="s">
        <v>1838</v>
      </c>
    </row>
    <row r="548" spans="1:10" hidden="1" x14ac:dyDescent="0.25">
      <c r="A548" s="2" t="s">
        <v>10</v>
      </c>
      <c r="B548" s="2" t="str">
        <f>"9780071801508"</f>
        <v>9780071801508</v>
      </c>
      <c r="C548" s="2" t="s">
        <v>1839</v>
      </c>
      <c r="D548" s="2" t="s">
        <v>1800</v>
      </c>
      <c r="E548" s="2" t="s">
        <v>13</v>
      </c>
      <c r="F548" s="2">
        <v>2013</v>
      </c>
      <c r="G548" s="3">
        <v>42819</v>
      </c>
      <c r="I548" s="2" t="s">
        <v>44</v>
      </c>
      <c r="J548" s="2" t="s">
        <v>1840</v>
      </c>
    </row>
    <row r="549" spans="1:10" x14ac:dyDescent="0.25">
      <c r="A549" s="2" t="s">
        <v>10</v>
      </c>
      <c r="B549" s="2" t="str">
        <f>"9780071817721"</f>
        <v>9780071817721</v>
      </c>
      <c r="C549" s="2" t="s">
        <v>1841</v>
      </c>
      <c r="D549" s="2" t="s">
        <v>1383</v>
      </c>
      <c r="E549" s="2" t="s">
        <v>13</v>
      </c>
      <c r="F549" s="2">
        <v>2013</v>
      </c>
      <c r="G549" s="3">
        <v>42077</v>
      </c>
      <c r="H549" s="2" t="s">
        <v>1384</v>
      </c>
      <c r="I549" s="2" t="s">
        <v>15</v>
      </c>
      <c r="J549" s="2" t="s">
        <v>1842</v>
      </c>
    </row>
    <row r="550" spans="1:10" x14ac:dyDescent="0.25">
      <c r="A550" s="2" t="s">
        <v>10</v>
      </c>
      <c r="B550" s="2" t="str">
        <f>"9780071810791"</f>
        <v>9780071810791</v>
      </c>
      <c r="C550" s="2" t="s">
        <v>1843</v>
      </c>
      <c r="D550" s="2" t="s">
        <v>1844</v>
      </c>
      <c r="E550" s="2" t="s">
        <v>13</v>
      </c>
      <c r="F550" s="2">
        <v>2013</v>
      </c>
      <c r="G550" s="3">
        <v>41670</v>
      </c>
      <c r="H550" s="2" t="s">
        <v>639</v>
      </c>
      <c r="I550" s="2" t="s">
        <v>15</v>
      </c>
      <c r="J550" s="2" t="s">
        <v>1845</v>
      </c>
    </row>
    <row r="551" spans="1:10" x14ac:dyDescent="0.25">
      <c r="A551" s="2" t="s">
        <v>10</v>
      </c>
      <c r="B551" s="2" t="str">
        <f>"9780071813082"</f>
        <v>9780071813082</v>
      </c>
      <c r="C551" s="2" t="s">
        <v>1846</v>
      </c>
      <c r="D551" s="2" t="s">
        <v>1847</v>
      </c>
      <c r="E551" s="2" t="s">
        <v>13</v>
      </c>
      <c r="F551" s="2">
        <v>2013</v>
      </c>
      <c r="G551" s="3">
        <v>41912</v>
      </c>
      <c r="H551" s="2" t="s">
        <v>427</v>
      </c>
      <c r="I551" s="2" t="s">
        <v>15</v>
      </c>
      <c r="J551" s="2" t="s">
        <v>1848</v>
      </c>
    </row>
    <row r="552" spans="1:10" x14ac:dyDescent="0.25">
      <c r="A552" s="2" t="s">
        <v>10</v>
      </c>
      <c r="B552" s="2" t="str">
        <f>"9780071812894"</f>
        <v>9780071812894</v>
      </c>
      <c r="C552" s="2" t="s">
        <v>1849</v>
      </c>
      <c r="D552" s="2" t="s">
        <v>1850</v>
      </c>
      <c r="E552" s="2" t="s">
        <v>13</v>
      </c>
      <c r="F552" s="2">
        <v>2015</v>
      </c>
      <c r="G552" s="3">
        <v>42153</v>
      </c>
      <c r="H552" s="2" t="s">
        <v>1851</v>
      </c>
      <c r="I552" s="2" t="s">
        <v>15</v>
      </c>
      <c r="J552" s="2" t="s">
        <v>1852</v>
      </c>
    </row>
    <row r="553" spans="1:10" x14ac:dyDescent="0.25">
      <c r="A553" s="2" t="s">
        <v>10</v>
      </c>
      <c r="B553" s="2" t="str">
        <f>"9780071805025"</f>
        <v>9780071805025</v>
      </c>
      <c r="C553" s="2" t="s">
        <v>1853</v>
      </c>
      <c r="D553" s="2" t="s">
        <v>1854</v>
      </c>
      <c r="E553" s="2" t="s">
        <v>13</v>
      </c>
      <c r="F553" s="2">
        <v>2013</v>
      </c>
      <c r="G553" s="3">
        <v>42670</v>
      </c>
      <c r="H553" s="2" t="s">
        <v>1855</v>
      </c>
      <c r="I553" s="2" t="s">
        <v>15</v>
      </c>
      <c r="J553" s="2" t="s">
        <v>1856</v>
      </c>
    </row>
    <row r="554" spans="1:10" x14ac:dyDescent="0.25">
      <c r="A554" s="2" t="s">
        <v>10</v>
      </c>
      <c r="B554" s="2" t="str">
        <f>"9780071821018"</f>
        <v>9780071821018</v>
      </c>
      <c r="C554" s="2" t="s">
        <v>1857</v>
      </c>
      <c r="D554" s="2" t="s">
        <v>528</v>
      </c>
      <c r="E554" s="2" t="s">
        <v>13</v>
      </c>
      <c r="F554" s="2">
        <v>2014</v>
      </c>
      <c r="G554" s="3">
        <v>41816</v>
      </c>
      <c r="H554" s="2" t="s">
        <v>396</v>
      </c>
      <c r="I554" s="2" t="s">
        <v>15</v>
      </c>
      <c r="J554" s="2" t="s">
        <v>1858</v>
      </c>
    </row>
    <row r="555" spans="1:10" x14ac:dyDescent="0.25">
      <c r="A555" s="2" t="s">
        <v>10</v>
      </c>
      <c r="B555" s="2" t="str">
        <f>"9780071799966"</f>
        <v>9780071799966</v>
      </c>
      <c r="C555" s="2" t="s">
        <v>1859</v>
      </c>
      <c r="D555" s="2" t="s">
        <v>1860</v>
      </c>
      <c r="E555" s="2" t="s">
        <v>13</v>
      </c>
      <c r="F555" s="2">
        <v>2013</v>
      </c>
      <c r="G555" s="3">
        <v>41408</v>
      </c>
      <c r="H555" s="2" t="s">
        <v>1861</v>
      </c>
      <c r="I555" s="2" t="s">
        <v>15</v>
      </c>
      <c r="J555" s="2" t="s">
        <v>1862</v>
      </c>
    </row>
    <row r="556" spans="1:10" hidden="1" x14ac:dyDescent="0.25">
      <c r="A556" s="2" t="s">
        <v>10</v>
      </c>
      <c r="B556" s="2" t="str">
        <f>"9780071799157"</f>
        <v>9780071799157</v>
      </c>
      <c r="C556" s="2" t="s">
        <v>1863</v>
      </c>
      <c r="D556" s="2" t="s">
        <v>1864</v>
      </c>
      <c r="E556" s="2" t="s">
        <v>13</v>
      </c>
      <c r="F556" s="2">
        <v>2014</v>
      </c>
      <c r="G556" s="3">
        <v>42877</v>
      </c>
      <c r="I556" s="2" t="s">
        <v>44</v>
      </c>
      <c r="J556" s="2" t="s">
        <v>1865</v>
      </c>
    </row>
    <row r="557" spans="1:10" hidden="1" x14ac:dyDescent="0.25">
      <c r="A557" s="2" t="s">
        <v>10</v>
      </c>
      <c r="B557" s="2" t="str">
        <f>"9780071810906"</f>
        <v>9780071810906</v>
      </c>
      <c r="C557" s="2" t="s">
        <v>1866</v>
      </c>
      <c r="D557" s="2" t="s">
        <v>1867</v>
      </c>
      <c r="E557" s="2" t="s">
        <v>13</v>
      </c>
      <c r="F557" s="2">
        <v>2013</v>
      </c>
      <c r="G557" s="3">
        <v>41576</v>
      </c>
      <c r="I557" s="2" t="s">
        <v>44</v>
      </c>
      <c r="J557" s="2" t="s">
        <v>1868</v>
      </c>
    </row>
    <row r="558" spans="1:10" hidden="1" x14ac:dyDescent="0.25">
      <c r="A558" s="2" t="s">
        <v>10</v>
      </c>
      <c r="B558" s="2" t="str">
        <f>"9780071802369"</f>
        <v>9780071802369</v>
      </c>
      <c r="C558" s="2" t="s">
        <v>1869</v>
      </c>
      <c r="D558" s="2" t="s">
        <v>1383</v>
      </c>
      <c r="E558" s="2" t="s">
        <v>13</v>
      </c>
      <c r="F558" s="2">
        <v>2013</v>
      </c>
      <c r="G558" s="3">
        <v>42063</v>
      </c>
      <c r="I558" s="2" t="s">
        <v>44</v>
      </c>
      <c r="J558" s="2" t="s">
        <v>1870</v>
      </c>
    </row>
    <row r="559" spans="1:10" hidden="1" x14ac:dyDescent="0.25">
      <c r="A559" s="2" t="s">
        <v>10</v>
      </c>
      <c r="B559" s="2" t="str">
        <f>"9780071798143"</f>
        <v>9780071798143</v>
      </c>
      <c r="C559" s="2" t="s">
        <v>1871</v>
      </c>
      <c r="D559" s="2" t="s">
        <v>1747</v>
      </c>
      <c r="E559" s="2" t="s">
        <v>13</v>
      </c>
      <c r="F559" s="2">
        <v>2014</v>
      </c>
      <c r="G559" s="3">
        <v>41766</v>
      </c>
      <c r="I559" s="2" t="s">
        <v>44</v>
      </c>
      <c r="J559" s="2" t="s">
        <v>1872</v>
      </c>
    </row>
    <row r="560" spans="1:10" x14ac:dyDescent="0.25">
      <c r="A560" s="2" t="s">
        <v>10</v>
      </c>
      <c r="B560" s="2" t="str">
        <f>"9780071799928"</f>
        <v>9780071799928</v>
      </c>
      <c r="C560" s="2" t="s">
        <v>1873</v>
      </c>
      <c r="D560" s="2" t="s">
        <v>1874</v>
      </c>
      <c r="E560" s="2" t="s">
        <v>13</v>
      </c>
      <c r="F560" s="2">
        <v>2014</v>
      </c>
      <c r="G560" s="3">
        <v>41999</v>
      </c>
      <c r="H560" s="2" t="s">
        <v>740</v>
      </c>
      <c r="I560" s="2" t="s">
        <v>15</v>
      </c>
      <c r="J560" s="2" t="s">
        <v>1875</v>
      </c>
    </row>
    <row r="561" spans="1:10" x14ac:dyDescent="0.25">
      <c r="A561" s="2" t="s">
        <v>10</v>
      </c>
      <c r="B561" s="2" t="str">
        <f>"9780071821582"</f>
        <v>9780071821582</v>
      </c>
      <c r="C561" s="2" t="s">
        <v>1876</v>
      </c>
      <c r="D561" s="2" t="s">
        <v>1877</v>
      </c>
      <c r="E561" s="2" t="s">
        <v>13</v>
      </c>
      <c r="F561" s="2">
        <v>2014</v>
      </c>
      <c r="G561" s="3">
        <v>42077</v>
      </c>
      <c r="H561" s="2" t="s">
        <v>1384</v>
      </c>
      <c r="I561" s="2" t="s">
        <v>15</v>
      </c>
      <c r="J561" s="2" t="s">
        <v>1878</v>
      </c>
    </row>
    <row r="562" spans="1:10" x14ac:dyDescent="0.25">
      <c r="A562" s="2" t="s">
        <v>10</v>
      </c>
      <c r="B562" s="2" t="str">
        <f>"9780071795579"</f>
        <v>9780071795579</v>
      </c>
      <c r="C562" s="2" t="s">
        <v>1879</v>
      </c>
      <c r="D562" s="2" t="s">
        <v>1880</v>
      </c>
      <c r="E562" s="2" t="s">
        <v>13</v>
      </c>
      <c r="F562" s="2">
        <v>2013</v>
      </c>
      <c r="G562" s="3">
        <v>41248</v>
      </c>
      <c r="H562" s="2" t="s">
        <v>1881</v>
      </c>
      <c r="I562" s="2" t="s">
        <v>15</v>
      </c>
      <c r="J562" s="2" t="s">
        <v>1882</v>
      </c>
    </row>
    <row r="563" spans="1:10" x14ac:dyDescent="0.25">
      <c r="A563" s="2" t="s">
        <v>10</v>
      </c>
      <c r="B563" s="2" t="str">
        <f>"9780071805124"</f>
        <v>9780071805124</v>
      </c>
      <c r="C563" s="2" t="s">
        <v>1883</v>
      </c>
      <c r="D563" s="2" t="s">
        <v>1884</v>
      </c>
      <c r="E563" s="2" t="s">
        <v>13</v>
      </c>
      <c r="F563" s="2">
        <v>2014</v>
      </c>
      <c r="G563" s="3">
        <v>41793</v>
      </c>
      <c r="H563" s="2" t="s">
        <v>427</v>
      </c>
      <c r="I563" s="2" t="s">
        <v>15</v>
      </c>
      <c r="J563" s="2" t="s">
        <v>1885</v>
      </c>
    </row>
    <row r="564" spans="1:10" x14ac:dyDescent="0.25">
      <c r="A564" s="2" t="s">
        <v>10</v>
      </c>
      <c r="B564" s="2" t="str">
        <f>"9780071817660"</f>
        <v>9780071817660</v>
      </c>
      <c r="C564" s="2" t="s">
        <v>1886</v>
      </c>
      <c r="D564" s="2" t="s">
        <v>1887</v>
      </c>
      <c r="E564" s="2" t="s">
        <v>13</v>
      </c>
      <c r="F564" s="2">
        <v>2014</v>
      </c>
      <c r="G564" s="3">
        <v>41635</v>
      </c>
      <c r="H564" s="2" t="s">
        <v>646</v>
      </c>
      <c r="I564" s="2" t="s">
        <v>15</v>
      </c>
      <c r="J564" s="2" t="s">
        <v>1888</v>
      </c>
    </row>
    <row r="565" spans="1:10" x14ac:dyDescent="0.25">
      <c r="A565" s="2" t="s">
        <v>10</v>
      </c>
      <c r="B565" s="2" t="str">
        <f>"9780071819909"</f>
        <v>9780071819909</v>
      </c>
      <c r="C565" s="2" t="s">
        <v>1889</v>
      </c>
      <c r="D565" s="2" t="s">
        <v>1890</v>
      </c>
      <c r="E565" s="2" t="s">
        <v>13</v>
      </c>
      <c r="F565" s="2">
        <v>2014</v>
      </c>
      <c r="G565" s="3">
        <v>41912</v>
      </c>
      <c r="H565" s="2" t="s">
        <v>1891</v>
      </c>
      <c r="I565" s="2" t="s">
        <v>15</v>
      </c>
      <c r="J565" s="2" t="s">
        <v>1892</v>
      </c>
    </row>
    <row r="566" spans="1:10" x14ac:dyDescent="0.25">
      <c r="A566" s="2" t="s">
        <v>10</v>
      </c>
      <c r="B566" s="2" t="str">
        <f>"9780071796095"</f>
        <v>9780071796095</v>
      </c>
      <c r="C566" s="2" t="s">
        <v>1893</v>
      </c>
      <c r="D566" s="2" t="s">
        <v>1894</v>
      </c>
      <c r="E566" s="2" t="s">
        <v>13</v>
      </c>
      <c r="F566" s="2">
        <v>2014</v>
      </c>
      <c r="G566" s="3">
        <v>41696</v>
      </c>
      <c r="H566" s="2" t="s">
        <v>1895</v>
      </c>
      <c r="I566" s="2" t="s">
        <v>15</v>
      </c>
      <c r="J566" s="2" t="s">
        <v>1896</v>
      </c>
    </row>
    <row r="567" spans="1:10" x14ac:dyDescent="0.25">
      <c r="A567" s="2" t="s">
        <v>10</v>
      </c>
      <c r="B567" s="2" t="str">
        <f>"9780071821780"</f>
        <v>9780071821780</v>
      </c>
      <c r="C567" s="2" t="s">
        <v>1897</v>
      </c>
      <c r="D567" s="2" t="s">
        <v>1898</v>
      </c>
      <c r="E567" s="2" t="s">
        <v>13</v>
      </c>
      <c r="F567" s="2">
        <v>2014</v>
      </c>
      <c r="G567" s="3">
        <v>41879</v>
      </c>
      <c r="H567" s="2" t="s">
        <v>661</v>
      </c>
      <c r="I567" s="2" t="s">
        <v>15</v>
      </c>
      <c r="J567" s="2" t="s">
        <v>1899</v>
      </c>
    </row>
    <row r="568" spans="1:10" x14ac:dyDescent="0.25">
      <c r="A568" s="2" t="s">
        <v>10</v>
      </c>
      <c r="B568" s="2" t="str">
        <f>"9780071824859"</f>
        <v>9780071824859</v>
      </c>
      <c r="C568" s="2" t="s">
        <v>1900</v>
      </c>
      <c r="D568" s="2" t="s">
        <v>1901</v>
      </c>
      <c r="E568" s="2" t="s">
        <v>13</v>
      </c>
      <c r="F568" s="2">
        <v>2014</v>
      </c>
      <c r="G568" s="3">
        <v>41843</v>
      </c>
      <c r="H568" s="2" t="s">
        <v>1290</v>
      </c>
      <c r="I568" s="2" t="s">
        <v>15</v>
      </c>
      <c r="J568" s="2" t="s">
        <v>1902</v>
      </c>
    </row>
    <row r="569" spans="1:10" x14ac:dyDescent="0.25">
      <c r="A569" s="2" t="s">
        <v>10</v>
      </c>
      <c r="B569" s="2" t="str">
        <f>"9780071826617"</f>
        <v>9780071826617</v>
      </c>
      <c r="C569" s="2" t="s">
        <v>1903</v>
      </c>
      <c r="D569" s="2" t="s">
        <v>1904</v>
      </c>
      <c r="E569" s="2" t="s">
        <v>13</v>
      </c>
      <c r="F569" s="2">
        <v>2014</v>
      </c>
      <c r="G569" s="3">
        <v>41802</v>
      </c>
      <c r="H569" s="2" t="s">
        <v>1905</v>
      </c>
      <c r="I569" s="2" t="s">
        <v>15</v>
      </c>
      <c r="J569" s="2" t="s">
        <v>1906</v>
      </c>
    </row>
    <row r="570" spans="1:10" x14ac:dyDescent="0.25">
      <c r="A570" s="2" t="s">
        <v>10</v>
      </c>
      <c r="B570" s="2" t="str">
        <f>"9780071822831"</f>
        <v>9780071822831</v>
      </c>
      <c r="C570" s="2" t="s">
        <v>1907</v>
      </c>
      <c r="D570" s="2" t="s">
        <v>1405</v>
      </c>
      <c r="E570" s="2" t="s">
        <v>13</v>
      </c>
      <c r="F570" s="2">
        <v>2014</v>
      </c>
      <c r="G570" s="3">
        <v>41851</v>
      </c>
      <c r="H570" s="2" t="s">
        <v>536</v>
      </c>
      <c r="I570" s="2" t="s">
        <v>15</v>
      </c>
      <c r="J570" s="2" t="s">
        <v>1908</v>
      </c>
    </row>
    <row r="571" spans="1:10" x14ac:dyDescent="0.25">
      <c r="A571" s="2" t="s">
        <v>10</v>
      </c>
      <c r="B571" s="2" t="str">
        <f>"9780071829595"</f>
        <v>9780071829595</v>
      </c>
      <c r="C571" s="2" t="s">
        <v>1909</v>
      </c>
      <c r="D571" s="2" t="s">
        <v>1910</v>
      </c>
      <c r="E571" s="2" t="s">
        <v>13</v>
      </c>
      <c r="F571" s="2">
        <v>2016</v>
      </c>
      <c r="G571" s="3">
        <v>42488</v>
      </c>
      <c r="H571" s="2" t="s">
        <v>1911</v>
      </c>
      <c r="I571" s="2" t="s">
        <v>15</v>
      </c>
      <c r="J571" s="2" t="s">
        <v>1912</v>
      </c>
    </row>
    <row r="572" spans="1:10" x14ac:dyDescent="0.25">
      <c r="A572" s="2" t="s">
        <v>10</v>
      </c>
      <c r="B572" s="2" t="str">
        <f>"9780071828444"</f>
        <v>9780071828444</v>
      </c>
      <c r="C572" s="2" t="s">
        <v>1913</v>
      </c>
      <c r="D572" s="2" t="s">
        <v>817</v>
      </c>
      <c r="E572" s="2" t="s">
        <v>13</v>
      </c>
      <c r="F572" s="2">
        <v>2017</v>
      </c>
      <c r="G572" s="3">
        <v>42423</v>
      </c>
      <c r="H572" s="2" t="s">
        <v>1914</v>
      </c>
      <c r="I572" s="2" t="s">
        <v>15</v>
      </c>
      <c r="J572" s="2" t="s">
        <v>1915</v>
      </c>
    </row>
    <row r="573" spans="1:10" x14ac:dyDescent="0.25">
      <c r="A573" s="2" t="s">
        <v>10</v>
      </c>
      <c r="B573" s="2" t="str">
        <f>"9780071832120"</f>
        <v>9780071832120</v>
      </c>
      <c r="C573" s="2" t="s">
        <v>1916</v>
      </c>
      <c r="D573" s="2" t="s">
        <v>1917</v>
      </c>
      <c r="E573" s="2" t="s">
        <v>13</v>
      </c>
      <c r="F573" s="2">
        <v>2014</v>
      </c>
      <c r="G573" s="3">
        <v>42063</v>
      </c>
      <c r="H573" s="2" t="s">
        <v>1384</v>
      </c>
      <c r="I573" s="2" t="s">
        <v>15</v>
      </c>
      <c r="J573" s="2" t="s">
        <v>1918</v>
      </c>
    </row>
    <row r="574" spans="1:10" x14ac:dyDescent="0.25">
      <c r="A574" s="2" t="s">
        <v>10</v>
      </c>
      <c r="B574" s="2" t="str">
        <f>"9780071826631"</f>
        <v>9780071826631</v>
      </c>
      <c r="C574" s="2" t="s">
        <v>1919</v>
      </c>
      <c r="D574" s="2" t="s">
        <v>1920</v>
      </c>
      <c r="E574" s="2" t="s">
        <v>13</v>
      </c>
      <c r="F574" s="2">
        <v>2014</v>
      </c>
      <c r="G574" s="3">
        <v>41879</v>
      </c>
      <c r="H574" s="2" t="s">
        <v>857</v>
      </c>
      <c r="I574" s="2" t="s">
        <v>15</v>
      </c>
      <c r="J574" s="2" t="s">
        <v>1921</v>
      </c>
    </row>
    <row r="575" spans="1:10" x14ac:dyDescent="0.25">
      <c r="A575" s="2" t="s">
        <v>10</v>
      </c>
      <c r="B575" s="2" t="str">
        <f>"9780071833479"</f>
        <v>9780071833479</v>
      </c>
      <c r="C575" s="2" t="s">
        <v>1922</v>
      </c>
      <c r="D575" s="2" t="s">
        <v>1923</v>
      </c>
      <c r="E575" s="2" t="s">
        <v>13</v>
      </c>
      <c r="F575" s="2">
        <v>2015</v>
      </c>
      <c r="G575" s="3">
        <v>42077</v>
      </c>
      <c r="H575" s="2" t="s">
        <v>1924</v>
      </c>
      <c r="I575" s="2" t="s">
        <v>15</v>
      </c>
      <c r="J575" s="2" t="s">
        <v>1925</v>
      </c>
    </row>
    <row r="576" spans="1:10" x14ac:dyDescent="0.25">
      <c r="A576" s="2" t="s">
        <v>10</v>
      </c>
      <c r="B576" s="2" t="str">
        <f>"9780071831130"</f>
        <v>9780071831130</v>
      </c>
      <c r="C576" s="2" t="s">
        <v>1926</v>
      </c>
      <c r="D576" s="2" t="s">
        <v>1927</v>
      </c>
      <c r="E576" s="2" t="s">
        <v>13</v>
      </c>
      <c r="F576" s="2">
        <v>2015</v>
      </c>
      <c r="G576" s="3">
        <v>42152</v>
      </c>
      <c r="H576" s="2" t="s">
        <v>1928</v>
      </c>
      <c r="I576" s="2" t="s">
        <v>15</v>
      </c>
      <c r="J576" s="2" t="s">
        <v>1929</v>
      </c>
    </row>
    <row r="577" spans="1:10" hidden="1" x14ac:dyDescent="0.25">
      <c r="A577" s="2" t="s">
        <v>10</v>
      </c>
      <c r="B577" s="2" t="str">
        <f>"9780071821810"</f>
        <v>9780071821810</v>
      </c>
      <c r="C577" s="2" t="s">
        <v>1930</v>
      </c>
      <c r="D577" s="2" t="s">
        <v>1931</v>
      </c>
      <c r="E577" s="2" t="s">
        <v>13</v>
      </c>
      <c r="F577" s="2">
        <v>2014</v>
      </c>
      <c r="G577" s="3">
        <v>41879</v>
      </c>
      <c r="I577" s="2" t="s">
        <v>44</v>
      </c>
      <c r="J577" s="2" t="s">
        <v>1932</v>
      </c>
    </row>
    <row r="578" spans="1:10" x14ac:dyDescent="0.25">
      <c r="A578" s="2" t="s">
        <v>10</v>
      </c>
      <c r="B578" s="2" t="str">
        <f>"9780071824507"</f>
        <v>9780071824507</v>
      </c>
      <c r="C578" s="2" t="s">
        <v>1933</v>
      </c>
      <c r="D578" s="2" t="s">
        <v>1837</v>
      </c>
      <c r="E578" s="2" t="s">
        <v>13</v>
      </c>
      <c r="F578" s="2">
        <v>2014</v>
      </c>
      <c r="G578" s="3">
        <v>43496</v>
      </c>
      <c r="H578" s="2" t="s">
        <v>1934</v>
      </c>
      <c r="I578" s="2" t="s">
        <v>15</v>
      </c>
      <c r="J578" s="2" t="s">
        <v>1935</v>
      </c>
    </row>
    <row r="579" spans="1:10" x14ac:dyDescent="0.25">
      <c r="A579" s="2" t="s">
        <v>10</v>
      </c>
      <c r="B579" s="2" t="str">
        <f>"9780071826686"</f>
        <v>9780071826686</v>
      </c>
      <c r="C579" s="2" t="s">
        <v>1936</v>
      </c>
      <c r="D579" s="2" t="s">
        <v>1937</v>
      </c>
      <c r="E579" s="2" t="s">
        <v>13</v>
      </c>
      <c r="F579" s="2">
        <v>2015</v>
      </c>
      <c r="G579" s="3">
        <v>42181</v>
      </c>
      <c r="H579" s="2" t="s">
        <v>1938</v>
      </c>
      <c r="I579" s="2" t="s">
        <v>15</v>
      </c>
      <c r="J579" s="2" t="s">
        <v>1939</v>
      </c>
    </row>
    <row r="580" spans="1:10" x14ac:dyDescent="0.25">
      <c r="A580" s="2" t="s">
        <v>10</v>
      </c>
      <c r="B580" s="2" t="str">
        <f>"9780071823906"</f>
        <v>9780071823906</v>
      </c>
      <c r="C580" s="2" t="s">
        <v>1940</v>
      </c>
      <c r="D580" s="2" t="s">
        <v>430</v>
      </c>
      <c r="E580" s="2" t="s">
        <v>13</v>
      </c>
      <c r="F580" s="2">
        <v>2015</v>
      </c>
      <c r="G580" s="3">
        <v>42305</v>
      </c>
      <c r="H580" s="2" t="s">
        <v>60</v>
      </c>
      <c r="I580" s="2" t="s">
        <v>15</v>
      </c>
      <c r="J580" s="2" t="s">
        <v>1941</v>
      </c>
    </row>
    <row r="581" spans="1:10" x14ac:dyDescent="0.25">
      <c r="A581" s="2" t="s">
        <v>10</v>
      </c>
      <c r="B581" s="2" t="str">
        <f>"9780071828628"</f>
        <v>9780071828628</v>
      </c>
      <c r="C581" s="2" t="s">
        <v>1942</v>
      </c>
      <c r="D581" s="2" t="s">
        <v>1943</v>
      </c>
      <c r="E581" s="2" t="s">
        <v>13</v>
      </c>
      <c r="F581" s="2">
        <v>2015</v>
      </c>
      <c r="G581" s="3">
        <v>42207</v>
      </c>
      <c r="H581" s="2" t="s">
        <v>52</v>
      </c>
      <c r="I581" s="2" t="s">
        <v>15</v>
      </c>
      <c r="J581" s="2" t="s">
        <v>1944</v>
      </c>
    </row>
    <row r="582" spans="1:10" x14ac:dyDescent="0.25">
      <c r="A582" s="2" t="s">
        <v>10</v>
      </c>
      <c r="B582" s="2" t="str">
        <f>"9780071825399"</f>
        <v>9780071825399</v>
      </c>
      <c r="C582" s="2" t="s">
        <v>1945</v>
      </c>
      <c r="D582" s="2" t="s">
        <v>1946</v>
      </c>
      <c r="E582" s="2" t="s">
        <v>13</v>
      </c>
      <c r="F582" s="2">
        <v>2014</v>
      </c>
      <c r="G582" s="3">
        <v>42207</v>
      </c>
      <c r="H582" s="2" t="s">
        <v>1947</v>
      </c>
      <c r="I582" s="2" t="s">
        <v>15</v>
      </c>
      <c r="J582" s="2" t="s">
        <v>1948</v>
      </c>
    </row>
    <row r="583" spans="1:10" x14ac:dyDescent="0.25">
      <c r="A583" s="2" t="s">
        <v>10</v>
      </c>
      <c r="B583" s="2" t="str">
        <f>"9780071825658"</f>
        <v>9780071825658</v>
      </c>
      <c r="C583" s="2" t="s">
        <v>1949</v>
      </c>
      <c r="D583" s="2" t="s">
        <v>1703</v>
      </c>
      <c r="E583" s="2" t="s">
        <v>13</v>
      </c>
      <c r="F583" s="2">
        <v>2015</v>
      </c>
      <c r="G583" s="3">
        <v>42122</v>
      </c>
      <c r="H583" s="2" t="s">
        <v>1950</v>
      </c>
      <c r="I583" s="2" t="s">
        <v>15</v>
      </c>
      <c r="J583" s="2" t="s">
        <v>1951</v>
      </c>
    </row>
    <row r="584" spans="1:10" hidden="1" x14ac:dyDescent="0.25">
      <c r="A584" s="2" t="s">
        <v>10</v>
      </c>
      <c r="B584" s="2" t="str">
        <f>"9780071830829"</f>
        <v>9780071830829</v>
      </c>
      <c r="C584" s="2" t="s">
        <v>1952</v>
      </c>
      <c r="D584" s="2" t="s">
        <v>1953</v>
      </c>
      <c r="E584" s="2" t="s">
        <v>13</v>
      </c>
      <c r="F584" s="2">
        <v>2014</v>
      </c>
      <c r="G584" s="3">
        <v>41696</v>
      </c>
      <c r="I584" s="2" t="s">
        <v>44</v>
      </c>
      <c r="J584" s="2" t="s">
        <v>1954</v>
      </c>
    </row>
    <row r="585" spans="1:10" x14ac:dyDescent="0.25">
      <c r="A585" s="2" t="s">
        <v>10</v>
      </c>
      <c r="B585" s="2" t="str">
        <f>"9780071826853"</f>
        <v>9780071826853</v>
      </c>
      <c r="C585" s="2" t="s">
        <v>1955</v>
      </c>
      <c r="D585" s="2" t="s">
        <v>1956</v>
      </c>
      <c r="E585" s="2" t="s">
        <v>13</v>
      </c>
      <c r="F585" s="2">
        <v>2014</v>
      </c>
      <c r="G585" s="3">
        <v>41670</v>
      </c>
      <c r="H585" s="2" t="s">
        <v>536</v>
      </c>
      <c r="I585" s="2" t="s">
        <v>15</v>
      </c>
      <c r="J585" s="2" t="s">
        <v>1957</v>
      </c>
    </row>
    <row r="586" spans="1:10" x14ac:dyDescent="0.25">
      <c r="A586" s="2" t="s">
        <v>10</v>
      </c>
      <c r="B586" s="2" t="str">
        <f>"9780071825078"</f>
        <v>9780071825078</v>
      </c>
      <c r="C586" s="2" t="s">
        <v>1958</v>
      </c>
      <c r="D586" s="2" t="s">
        <v>1959</v>
      </c>
      <c r="E586" s="2" t="s">
        <v>13</v>
      </c>
      <c r="F586" s="2">
        <v>2015</v>
      </c>
      <c r="G586" s="3">
        <v>42305</v>
      </c>
      <c r="H586" s="2" t="s">
        <v>1960</v>
      </c>
      <c r="I586" s="2" t="s">
        <v>15</v>
      </c>
      <c r="J586" s="2" t="s">
        <v>1961</v>
      </c>
    </row>
    <row r="587" spans="1:10" hidden="1" x14ac:dyDescent="0.25">
      <c r="A587" s="2" t="s">
        <v>10</v>
      </c>
      <c r="B587" s="2" t="str">
        <f>"9780071830256"</f>
        <v>9780071830256</v>
      </c>
      <c r="C587" s="2" t="s">
        <v>1962</v>
      </c>
      <c r="D587" s="2" t="s">
        <v>1383</v>
      </c>
      <c r="E587" s="2" t="s">
        <v>13</v>
      </c>
      <c r="F587" s="2">
        <v>2014</v>
      </c>
      <c r="G587" s="3">
        <v>42079</v>
      </c>
      <c r="I587" s="2" t="s">
        <v>44</v>
      </c>
      <c r="J587" s="2" t="s">
        <v>1963</v>
      </c>
    </row>
    <row r="588" spans="1:10" x14ac:dyDescent="0.25">
      <c r="A588" s="2" t="s">
        <v>10</v>
      </c>
      <c r="B588" s="2" t="str">
        <f>"9780071822503"</f>
        <v>9780071822503</v>
      </c>
      <c r="C588" s="2" t="s">
        <v>1964</v>
      </c>
      <c r="D588" s="2" t="s">
        <v>1965</v>
      </c>
      <c r="E588" s="2" t="s">
        <v>13</v>
      </c>
      <c r="F588" s="2">
        <v>2014</v>
      </c>
      <c r="G588" s="3">
        <v>42488</v>
      </c>
      <c r="H588" s="2" t="s">
        <v>1966</v>
      </c>
      <c r="I588" s="2" t="s">
        <v>15</v>
      </c>
      <c r="J588" s="2" t="s">
        <v>1967</v>
      </c>
    </row>
    <row r="589" spans="1:10" x14ac:dyDescent="0.25">
      <c r="A589" s="2" t="s">
        <v>10</v>
      </c>
      <c r="B589" s="2" t="str">
        <f>"9780071830997"</f>
        <v>9780071830997</v>
      </c>
      <c r="C589" s="2" t="s">
        <v>1968</v>
      </c>
      <c r="D589" s="2" t="s">
        <v>1969</v>
      </c>
      <c r="E589" s="2" t="s">
        <v>13</v>
      </c>
      <c r="F589" s="2">
        <v>2014</v>
      </c>
      <c r="G589" s="3">
        <v>41992</v>
      </c>
      <c r="H589" s="2" t="s">
        <v>1970</v>
      </c>
      <c r="I589" s="2" t="s">
        <v>15</v>
      </c>
      <c r="J589" s="2" t="s">
        <v>1971</v>
      </c>
    </row>
    <row r="590" spans="1:10" x14ac:dyDescent="0.25">
      <c r="A590" s="2" t="s">
        <v>10</v>
      </c>
      <c r="B590" s="2" t="str">
        <f>"9780071822381"</f>
        <v>9780071822381</v>
      </c>
      <c r="C590" s="2" t="s">
        <v>1972</v>
      </c>
      <c r="D590" s="2" t="s">
        <v>1973</v>
      </c>
      <c r="E590" s="2" t="s">
        <v>13</v>
      </c>
      <c r="F590" s="2">
        <v>2015</v>
      </c>
      <c r="G590" s="3">
        <v>42181</v>
      </c>
      <c r="H590" s="2" t="s">
        <v>900</v>
      </c>
      <c r="I590" s="2" t="s">
        <v>15</v>
      </c>
      <c r="J590" s="2" t="s">
        <v>1974</v>
      </c>
    </row>
    <row r="591" spans="1:10" x14ac:dyDescent="0.25">
      <c r="A591" s="2" t="s">
        <v>10</v>
      </c>
      <c r="B591" s="2" t="str">
        <f>"9780071833950"</f>
        <v>9780071833950</v>
      </c>
      <c r="C591" s="2" t="s">
        <v>1975</v>
      </c>
      <c r="D591" s="2" t="s">
        <v>47</v>
      </c>
      <c r="E591" s="2" t="s">
        <v>13</v>
      </c>
      <c r="F591" s="2">
        <v>2016</v>
      </c>
      <c r="G591" s="3">
        <v>42516</v>
      </c>
      <c r="H591" s="2" t="s">
        <v>1711</v>
      </c>
      <c r="I591" s="2" t="s">
        <v>15</v>
      </c>
      <c r="J591" s="2" t="s">
        <v>1976</v>
      </c>
    </row>
    <row r="592" spans="1:10" x14ac:dyDescent="0.25">
      <c r="A592" s="2" t="s">
        <v>10</v>
      </c>
      <c r="B592" s="2" t="str">
        <f>"9780071826266"</f>
        <v>9780071826266</v>
      </c>
      <c r="C592" s="2" t="s">
        <v>1977</v>
      </c>
      <c r="D592" s="2" t="s">
        <v>543</v>
      </c>
      <c r="E592" s="2" t="s">
        <v>13</v>
      </c>
      <c r="F592" s="2">
        <v>2016</v>
      </c>
      <c r="G592" s="3">
        <v>42577</v>
      </c>
      <c r="H592" s="2" t="s">
        <v>267</v>
      </c>
      <c r="I592" s="2" t="s">
        <v>15</v>
      </c>
      <c r="J592" s="2" t="s">
        <v>1978</v>
      </c>
    </row>
    <row r="593" spans="1:10" x14ac:dyDescent="0.25">
      <c r="A593" s="2" t="s">
        <v>10</v>
      </c>
      <c r="B593" s="2" t="str">
        <f>"9780071832663"</f>
        <v>9780071832663</v>
      </c>
      <c r="C593" s="2" t="s">
        <v>1979</v>
      </c>
      <c r="D593" s="2" t="s">
        <v>1980</v>
      </c>
      <c r="E593" s="2" t="s">
        <v>13</v>
      </c>
      <c r="F593" s="2">
        <v>2014</v>
      </c>
      <c r="G593" s="3">
        <v>41941</v>
      </c>
      <c r="H593" s="2" t="s">
        <v>1981</v>
      </c>
      <c r="I593" s="2" t="s">
        <v>15</v>
      </c>
      <c r="J593" s="2" t="s">
        <v>1982</v>
      </c>
    </row>
    <row r="594" spans="1:10" x14ac:dyDescent="0.25">
      <c r="A594" s="2" t="s">
        <v>10</v>
      </c>
      <c r="B594" s="2" t="str">
        <f>"9780071828963"</f>
        <v>9780071828963</v>
      </c>
      <c r="C594" s="2" t="s">
        <v>1983</v>
      </c>
      <c r="D594" s="2" t="s">
        <v>1984</v>
      </c>
      <c r="E594" s="2" t="s">
        <v>13</v>
      </c>
      <c r="F594" s="2">
        <v>2015</v>
      </c>
      <c r="G594" s="3">
        <v>42122</v>
      </c>
      <c r="H594" s="2" t="s">
        <v>23</v>
      </c>
      <c r="I594" s="2" t="s">
        <v>15</v>
      </c>
      <c r="J594" s="2" t="s">
        <v>1985</v>
      </c>
    </row>
    <row r="595" spans="1:10" x14ac:dyDescent="0.25">
      <c r="A595" s="2" t="s">
        <v>10</v>
      </c>
      <c r="B595" s="2" t="str">
        <f>"9780071825160"</f>
        <v>9780071825160</v>
      </c>
      <c r="C595" s="2" t="s">
        <v>1986</v>
      </c>
      <c r="D595" s="2" t="s">
        <v>1987</v>
      </c>
      <c r="E595" s="2" t="s">
        <v>13</v>
      </c>
      <c r="F595" s="2">
        <v>2014</v>
      </c>
      <c r="G595" s="3">
        <v>41941</v>
      </c>
      <c r="H595" s="2" t="s">
        <v>1988</v>
      </c>
      <c r="I595" s="2" t="s">
        <v>15</v>
      </c>
      <c r="J595" s="2" t="s">
        <v>1989</v>
      </c>
    </row>
    <row r="596" spans="1:10" x14ac:dyDescent="0.25">
      <c r="A596" s="2" t="s">
        <v>10</v>
      </c>
      <c r="B596" s="2" t="str">
        <f>"9780071831451"</f>
        <v>9780071831451</v>
      </c>
      <c r="C596" s="2" t="s">
        <v>1990</v>
      </c>
      <c r="D596" s="2" t="s">
        <v>1991</v>
      </c>
      <c r="E596" s="2" t="s">
        <v>13</v>
      </c>
      <c r="F596" s="2">
        <v>2014</v>
      </c>
      <c r="G596" s="3">
        <v>41696</v>
      </c>
      <c r="H596" s="2" t="s">
        <v>1992</v>
      </c>
      <c r="I596" s="2" t="s">
        <v>15</v>
      </c>
      <c r="J596" s="2" t="s">
        <v>1993</v>
      </c>
    </row>
    <row r="597" spans="1:10" x14ac:dyDescent="0.25">
      <c r="A597" s="2" t="s">
        <v>10</v>
      </c>
      <c r="B597" s="2" t="str">
        <f>"9780071826945"</f>
        <v>9780071826945</v>
      </c>
      <c r="C597" s="2" t="s">
        <v>1994</v>
      </c>
      <c r="D597" s="2" t="s">
        <v>98</v>
      </c>
      <c r="E597" s="2" t="s">
        <v>13</v>
      </c>
      <c r="F597" s="2">
        <v>2014</v>
      </c>
      <c r="G597" s="3">
        <v>41793</v>
      </c>
      <c r="H597" s="2" t="s">
        <v>1995</v>
      </c>
      <c r="I597" s="2" t="s">
        <v>15</v>
      </c>
      <c r="J597" s="2" t="s">
        <v>1996</v>
      </c>
    </row>
    <row r="598" spans="1:10" hidden="1" x14ac:dyDescent="0.25">
      <c r="A598" s="2" t="s">
        <v>10</v>
      </c>
      <c r="B598" s="2" t="str">
        <f>"9780071830454"</f>
        <v>9780071830454</v>
      </c>
      <c r="C598" s="2" t="s">
        <v>1997</v>
      </c>
      <c r="D598" s="2" t="s">
        <v>1998</v>
      </c>
      <c r="E598" s="2" t="s">
        <v>13</v>
      </c>
      <c r="F598" s="2">
        <v>2014</v>
      </c>
      <c r="G598" s="3">
        <v>41696</v>
      </c>
      <c r="I598" s="2" t="s">
        <v>44</v>
      </c>
      <c r="J598" s="2" t="s">
        <v>1999</v>
      </c>
    </row>
    <row r="599" spans="1:10" x14ac:dyDescent="0.25">
      <c r="A599" s="2" t="s">
        <v>10</v>
      </c>
      <c r="B599" s="2" t="str">
        <f>"9780071826600"</f>
        <v>9780071826600</v>
      </c>
      <c r="C599" s="2" t="s">
        <v>2000</v>
      </c>
      <c r="D599" s="2" t="s">
        <v>2001</v>
      </c>
      <c r="E599" s="2" t="s">
        <v>13</v>
      </c>
      <c r="F599" s="2">
        <v>2014</v>
      </c>
      <c r="G599" s="3">
        <v>41696</v>
      </c>
      <c r="H599" s="2" t="s">
        <v>95</v>
      </c>
      <c r="I599" s="2" t="s">
        <v>15</v>
      </c>
      <c r="J599" s="2" t="s">
        <v>2002</v>
      </c>
    </row>
    <row r="600" spans="1:10" x14ac:dyDescent="0.25">
      <c r="A600" s="2" t="s">
        <v>10</v>
      </c>
      <c r="B600" s="2" t="str">
        <f>"9780071825719"</f>
        <v>9780071825719</v>
      </c>
      <c r="C600" s="2" t="s">
        <v>2003</v>
      </c>
      <c r="D600" s="2" t="s">
        <v>2004</v>
      </c>
      <c r="E600" s="2" t="s">
        <v>13</v>
      </c>
      <c r="F600" s="2">
        <v>2015</v>
      </c>
      <c r="G600" s="3">
        <v>42181</v>
      </c>
      <c r="H600" s="2" t="s">
        <v>857</v>
      </c>
      <c r="I600" s="2" t="s">
        <v>15</v>
      </c>
      <c r="J600" s="2" t="s">
        <v>2005</v>
      </c>
    </row>
    <row r="601" spans="1:10" x14ac:dyDescent="0.25">
      <c r="A601" s="2" t="s">
        <v>10</v>
      </c>
      <c r="B601" s="2" t="str">
        <f>"9780071831284"</f>
        <v>9780071831284</v>
      </c>
      <c r="C601" s="2" t="s">
        <v>2006</v>
      </c>
      <c r="D601" s="2" t="s">
        <v>2007</v>
      </c>
      <c r="E601" s="2" t="s">
        <v>13</v>
      </c>
      <c r="F601" s="2">
        <v>2014</v>
      </c>
      <c r="G601" s="3">
        <v>41653</v>
      </c>
      <c r="H601" s="2" t="s">
        <v>2008</v>
      </c>
      <c r="I601" s="2" t="s">
        <v>15</v>
      </c>
      <c r="J601" s="2" t="s">
        <v>2009</v>
      </c>
    </row>
    <row r="602" spans="1:10" x14ac:dyDescent="0.25">
      <c r="A602" s="2" t="s">
        <v>10</v>
      </c>
      <c r="B602" s="2" t="str">
        <f>"9780071823128"</f>
        <v>9780071823128</v>
      </c>
      <c r="C602" s="2" t="s">
        <v>2010</v>
      </c>
      <c r="D602" s="2" t="s">
        <v>2011</v>
      </c>
      <c r="E602" s="2" t="s">
        <v>13</v>
      </c>
      <c r="F602" s="2">
        <v>2014</v>
      </c>
      <c r="G602" s="3">
        <v>42516</v>
      </c>
      <c r="H602" s="2" t="s">
        <v>857</v>
      </c>
      <c r="I602" s="2" t="s">
        <v>15</v>
      </c>
      <c r="J602" s="2" t="s">
        <v>2012</v>
      </c>
    </row>
    <row r="603" spans="1:10" x14ac:dyDescent="0.25">
      <c r="A603" s="2" t="s">
        <v>10</v>
      </c>
      <c r="B603" s="2" t="str">
        <f>"9780071828062"</f>
        <v>9780071828062</v>
      </c>
      <c r="C603" s="2" t="s">
        <v>2013</v>
      </c>
      <c r="D603" s="2" t="s">
        <v>1544</v>
      </c>
      <c r="E603" s="2" t="s">
        <v>13</v>
      </c>
      <c r="F603" s="2">
        <v>2014</v>
      </c>
      <c r="G603" s="3">
        <v>41832</v>
      </c>
      <c r="H603" s="2" t="s">
        <v>1683</v>
      </c>
      <c r="I603" s="2" t="s">
        <v>15</v>
      </c>
      <c r="J603" s="2" t="s">
        <v>2014</v>
      </c>
    </row>
    <row r="604" spans="1:10" x14ac:dyDescent="0.25">
      <c r="A604" s="2" t="s">
        <v>10</v>
      </c>
      <c r="B604" s="2" t="str">
        <f>"9780071823340"</f>
        <v>9780071823340</v>
      </c>
      <c r="C604" s="2" t="s">
        <v>2015</v>
      </c>
      <c r="D604" s="2" t="s">
        <v>2016</v>
      </c>
      <c r="E604" s="2" t="s">
        <v>13</v>
      </c>
      <c r="F604" s="2">
        <v>2016</v>
      </c>
      <c r="G604" s="3">
        <v>42612</v>
      </c>
      <c r="H604" s="2" t="s">
        <v>540</v>
      </c>
      <c r="I604" s="2" t="s">
        <v>15</v>
      </c>
      <c r="J604" s="2" t="s">
        <v>2017</v>
      </c>
    </row>
    <row r="605" spans="1:10" hidden="1" x14ac:dyDescent="0.25">
      <c r="A605" s="2" t="s">
        <v>10</v>
      </c>
      <c r="B605" s="2" t="str">
        <f>"9780071831475"</f>
        <v>9780071831475</v>
      </c>
      <c r="C605" s="2" t="s">
        <v>2018</v>
      </c>
      <c r="D605" s="2" t="s">
        <v>2019</v>
      </c>
      <c r="E605" s="2" t="s">
        <v>13</v>
      </c>
      <c r="F605" s="2">
        <v>2014</v>
      </c>
      <c r="G605" s="3">
        <v>41727</v>
      </c>
      <c r="I605" s="2" t="s">
        <v>44</v>
      </c>
      <c r="J605" s="2" t="s">
        <v>2020</v>
      </c>
    </row>
    <row r="606" spans="1:10" x14ac:dyDescent="0.25">
      <c r="A606" s="2" t="s">
        <v>10</v>
      </c>
      <c r="B606" s="2" t="str">
        <f>"9780071822312"</f>
        <v>9780071822312</v>
      </c>
      <c r="C606" s="2" t="s">
        <v>2021</v>
      </c>
      <c r="D606" s="2" t="s">
        <v>2022</v>
      </c>
      <c r="E606" s="2" t="s">
        <v>13</v>
      </c>
      <c r="F606" s="2">
        <v>2014</v>
      </c>
      <c r="G606" s="3">
        <v>41990</v>
      </c>
      <c r="H606" s="2" t="s">
        <v>2023</v>
      </c>
      <c r="I606" s="2" t="s">
        <v>15</v>
      </c>
      <c r="J606" s="2" t="s">
        <v>2024</v>
      </c>
    </row>
    <row r="607" spans="1:10" x14ac:dyDescent="0.25">
      <c r="A607" s="2" t="s">
        <v>10</v>
      </c>
      <c r="B607" s="2" t="str">
        <f>"9780071832366"</f>
        <v>9780071832366</v>
      </c>
      <c r="C607" s="2" t="s">
        <v>2025</v>
      </c>
      <c r="D607" s="2" t="s">
        <v>2026</v>
      </c>
      <c r="E607" s="2" t="s">
        <v>13</v>
      </c>
      <c r="F607" s="2">
        <v>2016</v>
      </c>
      <c r="G607" s="3">
        <v>42516</v>
      </c>
      <c r="H607" s="2" t="s">
        <v>2027</v>
      </c>
      <c r="I607" s="2" t="s">
        <v>15</v>
      </c>
      <c r="J607" s="2" t="s">
        <v>2028</v>
      </c>
    </row>
    <row r="608" spans="1:10" x14ac:dyDescent="0.25">
      <c r="A608" s="2" t="s">
        <v>10</v>
      </c>
      <c r="B608" s="2" t="str">
        <f>"9780071822145"</f>
        <v>9780071822145</v>
      </c>
      <c r="C608" s="2" t="s">
        <v>2029</v>
      </c>
      <c r="D608" s="2" t="s">
        <v>760</v>
      </c>
      <c r="E608" s="2" t="s">
        <v>13</v>
      </c>
      <c r="F608" s="2">
        <v>2014</v>
      </c>
      <c r="G608" s="3">
        <v>42037</v>
      </c>
      <c r="H608" s="2" t="s">
        <v>267</v>
      </c>
      <c r="I608" s="2" t="s">
        <v>15</v>
      </c>
      <c r="J608" s="2" t="s">
        <v>2030</v>
      </c>
    </row>
    <row r="609" spans="1:10" x14ac:dyDescent="0.25">
      <c r="A609" s="2" t="s">
        <v>10</v>
      </c>
      <c r="B609" s="2" t="str">
        <f>"9780071825917"</f>
        <v>9780071825917</v>
      </c>
      <c r="C609" s="2" t="s">
        <v>2031</v>
      </c>
      <c r="D609" s="2" t="s">
        <v>2032</v>
      </c>
      <c r="E609" s="2" t="s">
        <v>13</v>
      </c>
      <c r="F609" s="2">
        <v>2014</v>
      </c>
      <c r="G609" s="3">
        <v>41912</v>
      </c>
      <c r="H609" s="2" t="s">
        <v>2033</v>
      </c>
      <c r="I609" s="2" t="s">
        <v>15</v>
      </c>
      <c r="J609" s="2" t="s">
        <v>2034</v>
      </c>
    </row>
    <row r="610" spans="1:10" x14ac:dyDescent="0.25">
      <c r="A610" s="2" t="s">
        <v>10</v>
      </c>
      <c r="B610" s="2" t="str">
        <f>"9780071826839"</f>
        <v>9780071826839</v>
      </c>
      <c r="C610" s="2" t="s">
        <v>2035</v>
      </c>
      <c r="D610" s="2" t="s">
        <v>2036</v>
      </c>
      <c r="E610" s="2" t="s">
        <v>13</v>
      </c>
      <c r="F610" s="2">
        <v>2014</v>
      </c>
      <c r="G610" s="3">
        <v>41605</v>
      </c>
      <c r="H610" s="2" t="s">
        <v>2037</v>
      </c>
      <c r="I610" s="2" t="s">
        <v>15</v>
      </c>
      <c r="J610" s="2" t="s">
        <v>2038</v>
      </c>
    </row>
    <row r="611" spans="1:10" hidden="1" x14ac:dyDescent="0.25">
      <c r="A611" s="2" t="s">
        <v>10</v>
      </c>
      <c r="B611" s="2" t="str">
        <f>"9780071830034"</f>
        <v>9780071830034</v>
      </c>
      <c r="C611" s="2" t="s">
        <v>2039</v>
      </c>
      <c r="D611" s="2" t="s">
        <v>2040</v>
      </c>
      <c r="E611" s="2" t="s">
        <v>13</v>
      </c>
      <c r="F611" s="2">
        <v>2014</v>
      </c>
      <c r="G611" s="3">
        <v>41635</v>
      </c>
      <c r="I611" s="2" t="s">
        <v>44</v>
      </c>
      <c r="J611" s="2" t="s">
        <v>2041</v>
      </c>
    </row>
    <row r="612" spans="1:10" hidden="1" x14ac:dyDescent="0.25">
      <c r="A612" s="2" t="s">
        <v>10</v>
      </c>
      <c r="B612" s="2" t="str">
        <f>"9780071826792"</f>
        <v>9780071826792</v>
      </c>
      <c r="C612" s="2" t="s">
        <v>2042</v>
      </c>
      <c r="D612" s="2" t="s">
        <v>2043</v>
      </c>
      <c r="E612" s="2" t="s">
        <v>13</v>
      </c>
      <c r="F612" s="2">
        <v>2014</v>
      </c>
      <c r="G612" s="3">
        <v>42877</v>
      </c>
      <c r="H612" s="2" t="s">
        <v>2044</v>
      </c>
      <c r="I612" s="2" t="s">
        <v>44</v>
      </c>
      <c r="J612" s="2" t="s">
        <v>2045</v>
      </c>
    </row>
    <row r="613" spans="1:10" x14ac:dyDescent="0.25">
      <c r="A613" s="2" t="s">
        <v>10</v>
      </c>
      <c r="B613" s="2" t="str">
        <f>"9780071829489"</f>
        <v>9780071829489</v>
      </c>
      <c r="C613" s="2" t="s">
        <v>2046</v>
      </c>
      <c r="D613" s="2" t="s">
        <v>2047</v>
      </c>
      <c r="E613" s="2" t="s">
        <v>13</v>
      </c>
      <c r="F613" s="2">
        <v>2014</v>
      </c>
      <c r="G613" s="3">
        <v>41698</v>
      </c>
      <c r="H613" s="2" t="s">
        <v>2048</v>
      </c>
      <c r="I613" s="2" t="s">
        <v>15</v>
      </c>
      <c r="J613" s="2" t="s">
        <v>2049</v>
      </c>
    </row>
    <row r="614" spans="1:10" hidden="1" x14ac:dyDescent="0.25">
      <c r="A614" s="2" t="s">
        <v>10</v>
      </c>
      <c r="B614" s="2" t="str">
        <f>"9780071821957"</f>
        <v>9780071821957</v>
      </c>
      <c r="C614" s="2" t="s">
        <v>2050</v>
      </c>
      <c r="D614" s="2" t="s">
        <v>2051</v>
      </c>
      <c r="E614" s="2" t="s">
        <v>13</v>
      </c>
      <c r="F614" s="2">
        <v>2015</v>
      </c>
      <c r="G614" s="3">
        <v>42244</v>
      </c>
      <c r="H614" s="2" t="s">
        <v>485</v>
      </c>
      <c r="I614" s="2" t="s">
        <v>44</v>
      </c>
      <c r="J614" s="2" t="s">
        <v>2052</v>
      </c>
    </row>
    <row r="615" spans="1:10" x14ac:dyDescent="0.25">
      <c r="A615" s="2" t="s">
        <v>10</v>
      </c>
      <c r="B615" s="2" t="str">
        <f>"9780071831314"</f>
        <v>9780071831314</v>
      </c>
      <c r="C615" s="2" t="s">
        <v>2053</v>
      </c>
      <c r="D615" s="2" t="s">
        <v>2054</v>
      </c>
      <c r="E615" s="2" t="s">
        <v>13</v>
      </c>
      <c r="F615" s="2">
        <v>2014</v>
      </c>
      <c r="G615" s="3">
        <v>41670</v>
      </c>
      <c r="H615" s="2" t="s">
        <v>1575</v>
      </c>
      <c r="I615" s="2" t="s">
        <v>15</v>
      </c>
      <c r="J615" s="2" t="s">
        <v>2055</v>
      </c>
    </row>
    <row r="616" spans="1:10" x14ac:dyDescent="0.25">
      <c r="A616" s="2" t="s">
        <v>10</v>
      </c>
      <c r="B616" s="2" t="str">
        <f>"9780071823463"</f>
        <v>9780071823463</v>
      </c>
      <c r="C616" s="2" t="s">
        <v>2056</v>
      </c>
      <c r="D616" s="2" t="s">
        <v>2057</v>
      </c>
      <c r="E616" s="2" t="s">
        <v>13</v>
      </c>
      <c r="F616" s="2">
        <v>2014</v>
      </c>
      <c r="G616" s="3">
        <v>41912</v>
      </c>
      <c r="H616" s="2" t="s">
        <v>853</v>
      </c>
      <c r="I616" s="2" t="s">
        <v>15</v>
      </c>
      <c r="J616" s="2" t="s">
        <v>2058</v>
      </c>
    </row>
    <row r="617" spans="1:10" x14ac:dyDescent="0.25">
      <c r="A617" s="2" t="s">
        <v>10</v>
      </c>
      <c r="B617" s="2" t="str">
        <f>"9780071822282"</f>
        <v>9780071822282</v>
      </c>
      <c r="C617" s="2" t="s">
        <v>2059</v>
      </c>
      <c r="D617" s="2" t="s">
        <v>1877</v>
      </c>
      <c r="E617" s="2" t="s">
        <v>13</v>
      </c>
      <c r="F617" s="2">
        <v>2014</v>
      </c>
      <c r="G617" s="3">
        <v>42063</v>
      </c>
      <c r="H617" s="2" t="s">
        <v>1384</v>
      </c>
      <c r="I617" s="2" t="s">
        <v>15</v>
      </c>
      <c r="J617" s="2" t="s">
        <v>2060</v>
      </c>
    </row>
    <row r="618" spans="1:10" hidden="1" x14ac:dyDescent="0.25">
      <c r="A618" s="2" t="s">
        <v>10</v>
      </c>
      <c r="B618" s="2" t="str">
        <f>"9780071829465"</f>
        <v>9780071829465</v>
      </c>
      <c r="C618" s="2" t="s">
        <v>2061</v>
      </c>
      <c r="D618" s="2" t="s">
        <v>2062</v>
      </c>
      <c r="E618" s="2" t="s">
        <v>13</v>
      </c>
      <c r="F618" s="2">
        <v>2014</v>
      </c>
      <c r="G618" s="3">
        <v>41670</v>
      </c>
      <c r="I618" s="2" t="s">
        <v>44</v>
      </c>
      <c r="J618" s="2" t="s">
        <v>2063</v>
      </c>
    </row>
    <row r="619" spans="1:10" x14ac:dyDescent="0.25">
      <c r="A619" s="2" t="s">
        <v>10</v>
      </c>
      <c r="B619" s="2" t="str">
        <f>"9780071838634"</f>
        <v>9780071838634</v>
      </c>
      <c r="C619" s="2" t="s">
        <v>2064</v>
      </c>
      <c r="D619" s="2" t="s">
        <v>535</v>
      </c>
      <c r="E619" s="2" t="s">
        <v>13</v>
      </c>
      <c r="F619" s="2" t="s">
        <v>2065</v>
      </c>
      <c r="G619" s="3">
        <v>42551</v>
      </c>
      <c r="H619" s="2" t="s">
        <v>536</v>
      </c>
      <c r="I619" s="2" t="s">
        <v>15</v>
      </c>
      <c r="J619" s="2" t="s">
        <v>2066</v>
      </c>
    </row>
    <row r="620" spans="1:10" x14ac:dyDescent="0.25">
      <c r="A620" s="2" t="s">
        <v>10</v>
      </c>
      <c r="B620" s="2" t="str">
        <f>"9780071835091"</f>
        <v>9780071835091</v>
      </c>
      <c r="C620" s="2" t="s">
        <v>2067</v>
      </c>
      <c r="D620" s="2" t="s">
        <v>2068</v>
      </c>
      <c r="E620" s="2" t="s">
        <v>13</v>
      </c>
      <c r="F620" s="2">
        <v>2017</v>
      </c>
      <c r="G620" s="3">
        <v>42403</v>
      </c>
      <c r="H620" s="2" t="s">
        <v>849</v>
      </c>
      <c r="I620" s="2" t="s">
        <v>15</v>
      </c>
      <c r="J620" s="2" t="s">
        <v>2069</v>
      </c>
    </row>
    <row r="621" spans="1:10" x14ac:dyDescent="0.25">
      <c r="A621" s="2" t="s">
        <v>10</v>
      </c>
      <c r="B621" s="2" t="str">
        <f>"9780071850032"</f>
        <v>9780071850032</v>
      </c>
      <c r="C621" s="2" t="s">
        <v>2070</v>
      </c>
      <c r="D621" s="2" t="s">
        <v>1395</v>
      </c>
      <c r="E621" s="2" t="s">
        <v>13</v>
      </c>
      <c r="F621" s="2">
        <v>2017</v>
      </c>
      <c r="G621" s="3">
        <v>42977</v>
      </c>
      <c r="H621" s="2" t="s">
        <v>853</v>
      </c>
      <c r="I621" s="2" t="s">
        <v>15</v>
      </c>
      <c r="J621" s="2" t="s">
        <v>2071</v>
      </c>
    </row>
    <row r="622" spans="1:10" x14ac:dyDescent="0.25">
      <c r="A622" s="2" t="s">
        <v>10</v>
      </c>
      <c r="B622" s="2" t="str">
        <f>"9780071843157"</f>
        <v>9780071843157</v>
      </c>
      <c r="C622" s="2" t="s">
        <v>2072</v>
      </c>
      <c r="D622" s="2" t="s">
        <v>2073</v>
      </c>
      <c r="E622" s="2" t="s">
        <v>13</v>
      </c>
      <c r="F622" s="2">
        <v>2016</v>
      </c>
      <c r="G622" s="3">
        <v>42551</v>
      </c>
      <c r="H622" s="2" t="s">
        <v>2074</v>
      </c>
      <c r="I622" s="2" t="s">
        <v>15</v>
      </c>
      <c r="J622" s="2" t="s">
        <v>2075</v>
      </c>
    </row>
    <row r="623" spans="1:10" x14ac:dyDescent="0.25">
      <c r="A623" s="2" t="s">
        <v>10</v>
      </c>
      <c r="B623" s="2" t="str">
        <f>"9780071839280"</f>
        <v>9780071839280</v>
      </c>
      <c r="C623" s="2" t="s">
        <v>2076</v>
      </c>
      <c r="D623" s="2" t="s">
        <v>2077</v>
      </c>
      <c r="E623" s="2" t="s">
        <v>13</v>
      </c>
      <c r="F623" s="2">
        <v>2015</v>
      </c>
      <c r="G623" s="3">
        <v>42077</v>
      </c>
      <c r="H623" s="2" t="s">
        <v>1384</v>
      </c>
      <c r="I623" s="2" t="s">
        <v>15</v>
      </c>
      <c r="J623" s="2" t="s">
        <v>2078</v>
      </c>
    </row>
    <row r="624" spans="1:10" x14ac:dyDescent="0.25">
      <c r="A624" s="2" t="s">
        <v>10</v>
      </c>
      <c r="B624" s="2" t="str">
        <f>"9780071843256"</f>
        <v>9780071843256</v>
      </c>
      <c r="C624" s="2" t="s">
        <v>2079</v>
      </c>
      <c r="D624" s="2" t="s">
        <v>2080</v>
      </c>
      <c r="E624" s="2" t="s">
        <v>13</v>
      </c>
      <c r="F624" s="2">
        <v>2016</v>
      </c>
      <c r="G624" s="3">
        <v>42394</v>
      </c>
      <c r="H624" s="2" t="s">
        <v>2081</v>
      </c>
      <c r="I624" s="2" t="s">
        <v>15</v>
      </c>
      <c r="J624" s="2" t="s">
        <v>2082</v>
      </c>
    </row>
    <row r="625" spans="1:10" x14ac:dyDescent="0.25">
      <c r="A625" s="2" t="s">
        <v>10</v>
      </c>
      <c r="B625" s="2" t="str">
        <f>"9780071844611"</f>
        <v>9780071844611</v>
      </c>
      <c r="C625" s="2" t="s">
        <v>2083</v>
      </c>
      <c r="D625" s="2" t="s">
        <v>2084</v>
      </c>
      <c r="E625" s="2" t="s">
        <v>13</v>
      </c>
      <c r="F625" s="2">
        <v>2015</v>
      </c>
      <c r="G625" s="3">
        <v>42185</v>
      </c>
      <c r="H625" s="2" t="s">
        <v>2085</v>
      </c>
      <c r="I625" s="2" t="s">
        <v>15</v>
      </c>
      <c r="J625" s="2" t="s">
        <v>2086</v>
      </c>
    </row>
    <row r="626" spans="1:10" x14ac:dyDescent="0.25">
      <c r="A626" s="2" t="s">
        <v>10</v>
      </c>
      <c r="B626" s="2" t="str">
        <f>"9780071843331"</f>
        <v>9780071843331</v>
      </c>
      <c r="C626" s="2" t="s">
        <v>2087</v>
      </c>
      <c r="D626" s="2" t="s">
        <v>2088</v>
      </c>
      <c r="E626" s="2" t="s">
        <v>13</v>
      </c>
      <c r="F626" s="2">
        <v>2017</v>
      </c>
      <c r="G626" s="3">
        <v>42851</v>
      </c>
      <c r="H626" s="2" t="s">
        <v>27</v>
      </c>
      <c r="I626" s="2" t="s">
        <v>15</v>
      </c>
      <c r="J626" s="2" t="s">
        <v>2089</v>
      </c>
    </row>
    <row r="627" spans="1:10" x14ac:dyDescent="0.25">
      <c r="A627" s="2" t="s">
        <v>10</v>
      </c>
      <c r="B627" s="2" t="str">
        <f>"9780071839440"</f>
        <v>9780071839440</v>
      </c>
      <c r="C627" s="2" t="s">
        <v>2090</v>
      </c>
      <c r="D627" s="2" t="s">
        <v>2091</v>
      </c>
      <c r="E627" s="2" t="s">
        <v>13</v>
      </c>
      <c r="F627" s="2">
        <v>2015</v>
      </c>
      <c r="G627" s="3">
        <v>42095</v>
      </c>
      <c r="H627" s="2" t="s">
        <v>1556</v>
      </c>
      <c r="I627" s="2" t="s">
        <v>15</v>
      </c>
      <c r="J627" s="2" t="s">
        <v>2092</v>
      </c>
    </row>
    <row r="628" spans="1:10" x14ac:dyDescent="0.25">
      <c r="A628" s="2" t="s">
        <v>10</v>
      </c>
      <c r="B628" s="2" t="str">
        <f>"9780071843843"</f>
        <v>9780071843843</v>
      </c>
      <c r="C628" s="2" t="s">
        <v>2093</v>
      </c>
      <c r="D628" s="2" t="s">
        <v>1380</v>
      </c>
      <c r="E628" s="2" t="s">
        <v>13</v>
      </c>
      <c r="F628" s="2">
        <v>2016</v>
      </c>
      <c r="G628" s="3">
        <v>42577</v>
      </c>
      <c r="H628" s="2" t="s">
        <v>2094</v>
      </c>
      <c r="I628" s="2" t="s">
        <v>15</v>
      </c>
      <c r="J628" s="2" t="s">
        <v>2095</v>
      </c>
    </row>
    <row r="629" spans="1:10" x14ac:dyDescent="0.25">
      <c r="A629" s="2" t="s">
        <v>10</v>
      </c>
      <c r="B629" s="2" t="str">
        <f>"9780071835732"</f>
        <v>9780071835732</v>
      </c>
      <c r="C629" s="2" t="s">
        <v>2096</v>
      </c>
      <c r="D629" s="2" t="s">
        <v>1193</v>
      </c>
      <c r="E629" s="2" t="s">
        <v>13</v>
      </c>
      <c r="F629" s="2">
        <v>2015</v>
      </c>
      <c r="G629" s="3">
        <v>42244</v>
      </c>
      <c r="H629" s="2" t="s">
        <v>2097</v>
      </c>
      <c r="I629" s="2" t="s">
        <v>15</v>
      </c>
      <c r="J629" s="2" t="s">
        <v>2098</v>
      </c>
    </row>
    <row r="630" spans="1:10" x14ac:dyDescent="0.25">
      <c r="A630" s="2" t="s">
        <v>10</v>
      </c>
      <c r="B630" s="2" t="str">
        <f>"9780071836777"</f>
        <v>9780071836777</v>
      </c>
      <c r="C630" s="2" t="s">
        <v>2099</v>
      </c>
      <c r="D630" s="2" t="s">
        <v>2100</v>
      </c>
      <c r="E630" s="2" t="s">
        <v>13</v>
      </c>
      <c r="F630" s="2">
        <v>2015</v>
      </c>
      <c r="G630" s="3">
        <v>42244</v>
      </c>
      <c r="H630" s="2" t="s">
        <v>1109</v>
      </c>
      <c r="I630" s="2" t="s">
        <v>15</v>
      </c>
      <c r="J630" s="2" t="s">
        <v>2101</v>
      </c>
    </row>
    <row r="631" spans="1:10" x14ac:dyDescent="0.25">
      <c r="A631" s="2" t="s">
        <v>10</v>
      </c>
      <c r="B631" s="2" t="str">
        <f>"9780071834087"</f>
        <v>9780071834087</v>
      </c>
      <c r="C631" s="2" t="s">
        <v>2102</v>
      </c>
      <c r="D631" s="2" t="s">
        <v>2103</v>
      </c>
      <c r="E631" s="2" t="s">
        <v>13</v>
      </c>
      <c r="F631" s="2">
        <v>2019</v>
      </c>
      <c r="G631" s="3">
        <v>43458</v>
      </c>
      <c r="H631" s="2" t="s">
        <v>1575</v>
      </c>
      <c r="I631" s="2" t="s">
        <v>15</v>
      </c>
      <c r="J631" s="2" t="s">
        <v>2104</v>
      </c>
    </row>
    <row r="632" spans="1:10" x14ac:dyDescent="0.25">
      <c r="A632" s="2" t="s">
        <v>10</v>
      </c>
      <c r="B632" s="2" t="str">
        <f>"9780071842372"</f>
        <v>9780071842372</v>
      </c>
      <c r="C632" s="2" t="s">
        <v>2105</v>
      </c>
      <c r="D632" s="2" t="s">
        <v>2106</v>
      </c>
      <c r="E632" s="2" t="s">
        <v>13</v>
      </c>
      <c r="F632" s="2">
        <v>2016</v>
      </c>
      <c r="G632" s="3">
        <v>42394</v>
      </c>
      <c r="H632" s="2" t="s">
        <v>1384</v>
      </c>
      <c r="I632" s="2" t="s">
        <v>15</v>
      </c>
      <c r="J632" s="2" t="s">
        <v>2107</v>
      </c>
    </row>
    <row r="633" spans="1:10" x14ac:dyDescent="0.25">
      <c r="A633" s="2" t="s">
        <v>10</v>
      </c>
      <c r="B633" s="2" t="str">
        <f>"9780071836906"</f>
        <v>9780071836906</v>
      </c>
      <c r="C633" s="2" t="s">
        <v>2108</v>
      </c>
      <c r="D633" s="2" t="s">
        <v>2109</v>
      </c>
      <c r="E633" s="2" t="s">
        <v>13</v>
      </c>
      <c r="F633" s="2">
        <v>2015</v>
      </c>
      <c r="G633" s="3">
        <v>42153</v>
      </c>
      <c r="H633" s="2" t="s">
        <v>2110</v>
      </c>
      <c r="I633" s="2" t="s">
        <v>15</v>
      </c>
      <c r="J633" s="2" t="s">
        <v>2111</v>
      </c>
    </row>
    <row r="634" spans="1:10" x14ac:dyDescent="0.25">
      <c r="A634" s="2" t="s">
        <v>10</v>
      </c>
      <c r="B634" s="2" t="str">
        <f>"9780071849234"</f>
        <v>9780071849234</v>
      </c>
      <c r="C634" s="2" t="s">
        <v>2112</v>
      </c>
      <c r="D634" s="2" t="s">
        <v>2113</v>
      </c>
      <c r="E634" s="2" t="s">
        <v>13</v>
      </c>
      <c r="F634" s="2">
        <v>2015</v>
      </c>
      <c r="G634" s="3">
        <v>42244</v>
      </c>
      <c r="H634" s="2" t="s">
        <v>2114</v>
      </c>
      <c r="I634" s="2" t="s">
        <v>15</v>
      </c>
      <c r="J634" s="2" t="s">
        <v>2115</v>
      </c>
    </row>
    <row r="635" spans="1:10" x14ac:dyDescent="0.25">
      <c r="A635" s="2" t="s">
        <v>10</v>
      </c>
      <c r="B635" s="2" t="str">
        <f>"9780071835466"</f>
        <v>9780071835466</v>
      </c>
      <c r="C635" s="2" t="s">
        <v>2116</v>
      </c>
      <c r="D635" s="2" t="s">
        <v>2117</v>
      </c>
      <c r="E635" s="2" t="s">
        <v>13</v>
      </c>
      <c r="F635" s="2">
        <v>2015</v>
      </c>
      <c r="G635" s="3">
        <v>42122</v>
      </c>
      <c r="H635" s="2" t="s">
        <v>2118</v>
      </c>
      <c r="I635" s="2" t="s">
        <v>15</v>
      </c>
      <c r="J635" s="2" t="s">
        <v>2119</v>
      </c>
    </row>
    <row r="636" spans="1:10" x14ac:dyDescent="0.25">
      <c r="A636" s="2" t="s">
        <v>10</v>
      </c>
      <c r="B636" s="2" t="str">
        <f>"9780071847063"</f>
        <v>9780071847063</v>
      </c>
      <c r="C636" s="2" t="s">
        <v>2120</v>
      </c>
      <c r="D636" s="2" t="s">
        <v>2077</v>
      </c>
      <c r="E636" s="2" t="s">
        <v>13</v>
      </c>
      <c r="F636" s="2">
        <v>2016</v>
      </c>
      <c r="G636" s="3">
        <v>42577</v>
      </c>
      <c r="H636" s="2" t="s">
        <v>2121</v>
      </c>
      <c r="I636" s="2" t="s">
        <v>15</v>
      </c>
      <c r="J636" s="2" t="s">
        <v>2122</v>
      </c>
    </row>
    <row r="637" spans="1:10" x14ac:dyDescent="0.25">
      <c r="A637" s="2" t="s">
        <v>10</v>
      </c>
      <c r="B637" s="2" t="str">
        <f>"9780071841047"</f>
        <v>9780071841047</v>
      </c>
      <c r="C637" s="2" t="s">
        <v>2123</v>
      </c>
      <c r="D637" s="2" t="s">
        <v>407</v>
      </c>
      <c r="E637" s="2" t="s">
        <v>13</v>
      </c>
      <c r="F637" s="2">
        <v>2015</v>
      </c>
      <c r="G637" s="3">
        <v>42095</v>
      </c>
      <c r="H637" s="2" t="s">
        <v>408</v>
      </c>
      <c r="I637" s="2" t="s">
        <v>15</v>
      </c>
      <c r="J637" s="2" t="s">
        <v>2124</v>
      </c>
    </row>
    <row r="638" spans="1:10" x14ac:dyDescent="0.25">
      <c r="A638" s="2" t="s">
        <v>10</v>
      </c>
      <c r="B638" s="2" t="str">
        <f>"9780071847780"</f>
        <v>9780071847780</v>
      </c>
      <c r="C638" s="2" t="s">
        <v>2125</v>
      </c>
      <c r="D638" s="2" t="s">
        <v>2126</v>
      </c>
      <c r="E638" s="2" t="s">
        <v>13</v>
      </c>
      <c r="F638" s="2">
        <v>2015</v>
      </c>
      <c r="G638" s="3">
        <v>42551</v>
      </c>
      <c r="H638" s="2" t="s">
        <v>449</v>
      </c>
      <c r="I638" s="2" t="s">
        <v>15</v>
      </c>
      <c r="J638" s="2" t="s">
        <v>2127</v>
      </c>
    </row>
    <row r="639" spans="1:10" x14ac:dyDescent="0.25">
      <c r="A639" s="2" t="s">
        <v>10</v>
      </c>
      <c r="B639" s="2" t="str">
        <f>"9780071839778"</f>
        <v>9780071839778</v>
      </c>
      <c r="C639" s="2" t="s">
        <v>2128</v>
      </c>
      <c r="D639" s="2" t="s">
        <v>2129</v>
      </c>
      <c r="E639" s="2" t="s">
        <v>13</v>
      </c>
      <c r="F639" s="2">
        <v>2016</v>
      </c>
      <c r="G639" s="3">
        <v>42404</v>
      </c>
      <c r="H639" s="2" t="s">
        <v>32</v>
      </c>
      <c r="I639" s="2" t="s">
        <v>15</v>
      </c>
      <c r="J639" s="2" t="s">
        <v>2130</v>
      </c>
    </row>
    <row r="640" spans="1:10" x14ac:dyDescent="0.25">
      <c r="A640" s="2" t="s">
        <v>10</v>
      </c>
      <c r="B640" s="2" t="str">
        <f>"9780071847841"</f>
        <v>9780071847841</v>
      </c>
      <c r="C640" s="2" t="s">
        <v>2131</v>
      </c>
      <c r="D640" s="2" t="s">
        <v>2132</v>
      </c>
      <c r="E640" s="2" t="s">
        <v>13</v>
      </c>
      <c r="F640" s="2">
        <v>2016</v>
      </c>
      <c r="G640" s="3">
        <v>42394</v>
      </c>
      <c r="H640" s="2" t="s">
        <v>1556</v>
      </c>
      <c r="I640" s="2" t="s">
        <v>15</v>
      </c>
      <c r="J640" s="2" t="s">
        <v>2133</v>
      </c>
    </row>
    <row r="641" spans="1:10" x14ac:dyDescent="0.25">
      <c r="A641" s="2" t="s">
        <v>10</v>
      </c>
      <c r="B641" s="2" t="str">
        <f>"9780071848091"</f>
        <v>9780071848091</v>
      </c>
      <c r="C641" s="2" t="s">
        <v>2134</v>
      </c>
      <c r="D641" s="2" t="s">
        <v>2135</v>
      </c>
      <c r="E641" s="2" t="s">
        <v>13</v>
      </c>
      <c r="F641" s="2">
        <v>2017</v>
      </c>
      <c r="G641" s="3">
        <v>42726</v>
      </c>
      <c r="H641" s="2" t="s">
        <v>2136</v>
      </c>
      <c r="I641" s="2" t="s">
        <v>15</v>
      </c>
      <c r="J641" s="2" t="s">
        <v>2137</v>
      </c>
    </row>
    <row r="642" spans="1:10" x14ac:dyDescent="0.25">
      <c r="A642" s="2" t="s">
        <v>10</v>
      </c>
      <c r="B642" s="2" t="str">
        <f>"9780071842822"</f>
        <v>9780071842822</v>
      </c>
      <c r="C642" s="2" t="s">
        <v>2138</v>
      </c>
      <c r="D642" s="2" t="s">
        <v>2139</v>
      </c>
      <c r="E642" s="2" t="s">
        <v>13</v>
      </c>
      <c r="F642" s="2">
        <v>2016</v>
      </c>
      <c r="G642" s="3">
        <v>42670</v>
      </c>
      <c r="H642" s="2" t="s">
        <v>2140</v>
      </c>
      <c r="I642" s="2" t="s">
        <v>15</v>
      </c>
      <c r="J642" s="2" t="s">
        <v>2141</v>
      </c>
    </row>
    <row r="643" spans="1:10" x14ac:dyDescent="0.25">
      <c r="A643" s="2" t="s">
        <v>10</v>
      </c>
      <c r="B643" s="2" t="str">
        <f>"9780071841726"</f>
        <v>9780071841726</v>
      </c>
      <c r="C643" s="2" t="s">
        <v>2142</v>
      </c>
      <c r="D643" s="2" t="s">
        <v>2143</v>
      </c>
      <c r="E643" s="2" t="s">
        <v>13</v>
      </c>
      <c r="F643" s="2">
        <v>2019</v>
      </c>
      <c r="G643" s="3">
        <v>43616</v>
      </c>
      <c r="H643" s="2" t="s">
        <v>2144</v>
      </c>
      <c r="I643" s="2" t="s">
        <v>15</v>
      </c>
      <c r="J643" s="2" t="s">
        <v>2145</v>
      </c>
    </row>
    <row r="644" spans="1:10" x14ac:dyDescent="0.25">
      <c r="A644" s="2" t="s">
        <v>10</v>
      </c>
      <c r="B644" s="2" t="str">
        <f>"9780071844635"</f>
        <v>9780071844635</v>
      </c>
      <c r="C644" s="2" t="s">
        <v>2146</v>
      </c>
      <c r="D644" s="2" t="s">
        <v>1383</v>
      </c>
      <c r="E644" s="2" t="s">
        <v>13</v>
      </c>
      <c r="F644" s="2">
        <v>2016</v>
      </c>
      <c r="G644" s="3">
        <v>42333</v>
      </c>
      <c r="H644" s="2" t="s">
        <v>1384</v>
      </c>
      <c r="I644" s="2" t="s">
        <v>15</v>
      </c>
      <c r="J644" s="2" t="s">
        <v>2147</v>
      </c>
    </row>
    <row r="645" spans="1:10" x14ac:dyDescent="0.25">
      <c r="A645" s="2" t="s">
        <v>10</v>
      </c>
      <c r="B645" s="2" t="str">
        <f>"9780071848565"</f>
        <v>9780071848565</v>
      </c>
      <c r="C645" s="2" t="s">
        <v>2148</v>
      </c>
      <c r="D645" s="2" t="s">
        <v>2149</v>
      </c>
      <c r="E645" s="2" t="s">
        <v>13</v>
      </c>
      <c r="F645" s="2">
        <v>2015</v>
      </c>
      <c r="G645" s="3">
        <v>42181</v>
      </c>
      <c r="H645" s="2" t="s">
        <v>853</v>
      </c>
      <c r="I645" s="2" t="s">
        <v>15</v>
      </c>
      <c r="J645" s="2" t="s">
        <v>2150</v>
      </c>
    </row>
    <row r="646" spans="1:10" x14ac:dyDescent="0.25">
      <c r="A646" s="2" t="s">
        <v>10</v>
      </c>
      <c r="B646" s="2" t="str">
        <f>"9780071835855"</f>
        <v>9780071835855</v>
      </c>
      <c r="C646" s="2" t="s">
        <v>2151</v>
      </c>
      <c r="D646" s="2" t="s">
        <v>2152</v>
      </c>
      <c r="E646" s="2" t="s">
        <v>13</v>
      </c>
      <c r="F646" s="2">
        <v>2014</v>
      </c>
      <c r="G646" s="3">
        <v>41912</v>
      </c>
      <c r="H646" s="2" t="s">
        <v>2153</v>
      </c>
      <c r="I646" s="2" t="s">
        <v>15</v>
      </c>
      <c r="J646" s="2" t="s">
        <v>2154</v>
      </c>
    </row>
    <row r="647" spans="1:10" x14ac:dyDescent="0.25">
      <c r="A647" s="2" t="s">
        <v>10</v>
      </c>
      <c r="B647" s="2" t="str">
        <f>"9780071849289"</f>
        <v>9780071849289</v>
      </c>
      <c r="C647" s="2" t="s">
        <v>2155</v>
      </c>
      <c r="D647" s="2" t="s">
        <v>2156</v>
      </c>
      <c r="E647" s="2" t="s">
        <v>13</v>
      </c>
      <c r="F647" s="2">
        <v>2016</v>
      </c>
      <c r="G647" s="3">
        <v>42429</v>
      </c>
      <c r="H647" s="2" t="s">
        <v>2157</v>
      </c>
      <c r="I647" s="2" t="s">
        <v>15</v>
      </c>
      <c r="J647" s="2" t="s">
        <v>2158</v>
      </c>
    </row>
    <row r="648" spans="1:10" hidden="1" x14ac:dyDescent="0.25">
      <c r="A648" s="2" t="s">
        <v>10</v>
      </c>
      <c r="B648" s="2" t="str">
        <f>"9780071834780"</f>
        <v>9780071834780</v>
      </c>
      <c r="C648" s="2" t="s">
        <v>2159</v>
      </c>
      <c r="D648" s="2" t="s">
        <v>2160</v>
      </c>
      <c r="E648" s="2" t="s">
        <v>13</v>
      </c>
      <c r="F648" s="2">
        <v>2014</v>
      </c>
      <c r="G648" s="3">
        <v>41802</v>
      </c>
      <c r="I648" s="2" t="s">
        <v>44</v>
      </c>
      <c r="J648" s="2" t="s">
        <v>2161</v>
      </c>
    </row>
    <row r="649" spans="1:10" x14ac:dyDescent="0.25">
      <c r="A649" s="2" t="s">
        <v>10</v>
      </c>
      <c r="B649" s="2" t="str">
        <f>"9780071834926"</f>
        <v>9780071834926</v>
      </c>
      <c r="C649" s="2" t="s">
        <v>2162</v>
      </c>
      <c r="D649" s="2" t="s">
        <v>2163</v>
      </c>
      <c r="E649" s="2" t="s">
        <v>13</v>
      </c>
      <c r="F649" s="2">
        <v>2016</v>
      </c>
      <c r="G649" s="3">
        <v>42670</v>
      </c>
      <c r="H649" s="2" t="s">
        <v>344</v>
      </c>
      <c r="I649" s="2" t="s">
        <v>15</v>
      </c>
      <c r="J649" s="2" t="s">
        <v>2164</v>
      </c>
    </row>
    <row r="650" spans="1:10" x14ac:dyDescent="0.25">
      <c r="A650" s="2" t="s">
        <v>10</v>
      </c>
      <c r="B650" s="2" t="str">
        <f>"9780071837590"</f>
        <v>9780071837590</v>
      </c>
      <c r="C650" s="2" t="s">
        <v>2165</v>
      </c>
      <c r="D650" s="2" t="s">
        <v>2166</v>
      </c>
      <c r="E650" s="2" t="s">
        <v>13</v>
      </c>
      <c r="F650" s="2">
        <v>2016</v>
      </c>
      <c r="G650" s="3">
        <v>42612</v>
      </c>
      <c r="H650" s="2" t="s">
        <v>2167</v>
      </c>
      <c r="I650" s="2" t="s">
        <v>15</v>
      </c>
      <c r="J650" s="2" t="s">
        <v>2168</v>
      </c>
    </row>
    <row r="651" spans="1:10" x14ac:dyDescent="0.25">
      <c r="A651" s="2" t="s">
        <v>10</v>
      </c>
      <c r="B651" s="2" t="str">
        <f>"9780071848299"</f>
        <v>9780071848299</v>
      </c>
      <c r="C651" s="2" t="s">
        <v>2169</v>
      </c>
      <c r="D651" s="2" t="s">
        <v>2170</v>
      </c>
      <c r="E651" s="2" t="s">
        <v>13</v>
      </c>
      <c r="F651" s="2">
        <v>2016</v>
      </c>
      <c r="G651" s="3">
        <v>42394</v>
      </c>
      <c r="H651" s="2" t="s">
        <v>853</v>
      </c>
      <c r="I651" s="2" t="s">
        <v>15</v>
      </c>
      <c r="J651" s="2" t="s">
        <v>2171</v>
      </c>
    </row>
    <row r="652" spans="1:10" x14ac:dyDescent="0.25">
      <c r="A652" s="2" t="s">
        <v>10</v>
      </c>
      <c r="B652" s="2" t="str">
        <f>"9780071842419"</f>
        <v>9780071842419</v>
      </c>
      <c r="C652" s="2" t="s">
        <v>2172</v>
      </c>
      <c r="D652" s="2" t="s">
        <v>1923</v>
      </c>
      <c r="E652" s="2" t="s">
        <v>13</v>
      </c>
      <c r="F652" s="2">
        <v>2016</v>
      </c>
      <c r="G652" s="3">
        <v>42429</v>
      </c>
      <c r="H652" s="2" t="s">
        <v>1924</v>
      </c>
      <c r="I652" s="2" t="s">
        <v>15</v>
      </c>
      <c r="J652" s="2" t="s">
        <v>2173</v>
      </c>
    </row>
    <row r="653" spans="1:10" x14ac:dyDescent="0.25">
      <c r="A653" s="2" t="s">
        <v>10</v>
      </c>
      <c r="B653" s="2" t="str">
        <f>"9780071839372"</f>
        <v>9780071839372</v>
      </c>
      <c r="C653" s="2" t="s">
        <v>2174</v>
      </c>
      <c r="D653" s="2" t="s">
        <v>2175</v>
      </c>
      <c r="E653" s="2" t="s">
        <v>13</v>
      </c>
      <c r="F653" s="2">
        <v>2015</v>
      </c>
      <c r="G653" s="3">
        <v>42122</v>
      </c>
      <c r="H653" s="2" t="s">
        <v>716</v>
      </c>
      <c r="I653" s="2" t="s">
        <v>15</v>
      </c>
      <c r="J653" s="2" t="s">
        <v>2176</v>
      </c>
    </row>
    <row r="654" spans="1:10" x14ac:dyDescent="0.25">
      <c r="A654" s="2" t="s">
        <v>10</v>
      </c>
      <c r="B654" s="2" t="str">
        <f>"9780071834056"</f>
        <v>9780071834056</v>
      </c>
      <c r="C654" s="2" t="s">
        <v>2177</v>
      </c>
      <c r="D654" s="2" t="s">
        <v>2178</v>
      </c>
      <c r="E654" s="2" t="s">
        <v>13</v>
      </c>
      <c r="F654" s="2">
        <v>2015</v>
      </c>
      <c r="G654" s="3">
        <v>42077</v>
      </c>
      <c r="H654" s="2" t="s">
        <v>1384</v>
      </c>
      <c r="I654" s="2" t="s">
        <v>15</v>
      </c>
      <c r="J654" s="2" t="s">
        <v>2179</v>
      </c>
    </row>
    <row r="655" spans="1:10" x14ac:dyDescent="0.25">
      <c r="A655" s="2" t="s">
        <v>10</v>
      </c>
      <c r="B655" s="2" t="str">
        <f>"9780071834971"</f>
        <v>9780071834971</v>
      </c>
      <c r="C655" s="2" t="s">
        <v>2180</v>
      </c>
      <c r="D655" s="2" t="s">
        <v>2181</v>
      </c>
      <c r="E655" s="2" t="s">
        <v>13</v>
      </c>
      <c r="F655" s="2">
        <v>2014</v>
      </c>
      <c r="G655" s="3">
        <v>41912</v>
      </c>
      <c r="H655" s="2" t="s">
        <v>2182</v>
      </c>
      <c r="I655" s="2" t="s">
        <v>15</v>
      </c>
      <c r="J655" s="2" t="s">
        <v>2183</v>
      </c>
    </row>
    <row r="656" spans="1:10" x14ac:dyDescent="0.25">
      <c r="A656" s="2" t="s">
        <v>10</v>
      </c>
      <c r="B656" s="2" t="str">
        <f>"9780071846035"</f>
        <v>9780071846035</v>
      </c>
      <c r="C656" s="2" t="s">
        <v>2184</v>
      </c>
      <c r="D656" s="2" t="s">
        <v>2185</v>
      </c>
      <c r="E656" s="2" t="s">
        <v>13</v>
      </c>
      <c r="F656" s="2">
        <v>2018</v>
      </c>
      <c r="G656" s="3">
        <v>43277</v>
      </c>
      <c r="H656" s="2" t="s">
        <v>2186</v>
      </c>
      <c r="I656" s="2" t="s">
        <v>15</v>
      </c>
      <c r="J656" s="2" t="s">
        <v>2187</v>
      </c>
    </row>
    <row r="657" spans="1:10" x14ac:dyDescent="0.25">
      <c r="A657" s="2" t="s">
        <v>10</v>
      </c>
      <c r="B657" s="2" t="str">
        <f>"9780071842808"</f>
        <v>9780071842808</v>
      </c>
      <c r="C657" s="2" t="s">
        <v>2188</v>
      </c>
      <c r="D657" s="2" t="s">
        <v>2189</v>
      </c>
      <c r="E657" s="2" t="s">
        <v>13</v>
      </c>
      <c r="F657" s="2">
        <v>2018</v>
      </c>
      <c r="G657" s="3">
        <v>43300</v>
      </c>
      <c r="H657" s="2" t="s">
        <v>427</v>
      </c>
      <c r="I657" s="2" t="s">
        <v>15</v>
      </c>
      <c r="J657" s="2" t="s">
        <v>2190</v>
      </c>
    </row>
    <row r="658" spans="1:10" x14ac:dyDescent="0.25">
      <c r="A658" s="2" t="s">
        <v>10</v>
      </c>
      <c r="B658" s="2" t="str">
        <f>"9780071835206"</f>
        <v>9780071835206</v>
      </c>
      <c r="C658" s="2" t="s">
        <v>2191</v>
      </c>
      <c r="D658" s="2" t="s">
        <v>2192</v>
      </c>
      <c r="E658" s="2" t="s">
        <v>13</v>
      </c>
      <c r="F658" s="2">
        <v>2015</v>
      </c>
      <c r="G658" s="3">
        <v>42181</v>
      </c>
      <c r="H658" s="2" t="s">
        <v>2193</v>
      </c>
      <c r="I658" s="2" t="s">
        <v>15</v>
      </c>
      <c r="J658" s="2" t="s">
        <v>2194</v>
      </c>
    </row>
    <row r="659" spans="1:10" x14ac:dyDescent="0.25">
      <c r="A659" s="2" t="s">
        <v>10</v>
      </c>
      <c r="B659" s="2" t="str">
        <f>"9780071848060"</f>
        <v>9780071848060</v>
      </c>
      <c r="C659" s="2" t="s">
        <v>2195</v>
      </c>
      <c r="D659" s="2" t="s">
        <v>1710</v>
      </c>
      <c r="E659" s="2" t="s">
        <v>13</v>
      </c>
      <c r="F659" s="2">
        <v>2016</v>
      </c>
      <c r="G659" s="3">
        <v>42333</v>
      </c>
      <c r="H659" s="2" t="s">
        <v>396</v>
      </c>
      <c r="I659" s="2" t="s">
        <v>15</v>
      </c>
      <c r="J659" s="2" t="s">
        <v>2196</v>
      </c>
    </row>
    <row r="660" spans="1:10" x14ac:dyDescent="0.25">
      <c r="A660" s="2" t="s">
        <v>10</v>
      </c>
      <c r="B660" s="2" t="str">
        <f>"9780071837286"</f>
        <v>9780071837286</v>
      </c>
      <c r="C660" s="2" t="s">
        <v>2197</v>
      </c>
      <c r="D660" s="2" t="s">
        <v>1790</v>
      </c>
      <c r="E660" s="2" t="s">
        <v>13</v>
      </c>
      <c r="F660" s="2">
        <v>2015</v>
      </c>
      <c r="G660" s="3">
        <v>42095</v>
      </c>
      <c r="H660" s="2" t="s">
        <v>1384</v>
      </c>
      <c r="I660" s="2" t="s">
        <v>15</v>
      </c>
      <c r="J660" s="2" t="s">
        <v>2198</v>
      </c>
    </row>
    <row r="661" spans="1:10" x14ac:dyDescent="0.25">
      <c r="A661" s="2" t="s">
        <v>10</v>
      </c>
      <c r="B661" s="2" t="str">
        <f>"9780071837514"</f>
        <v>9780071837514</v>
      </c>
      <c r="C661" s="2" t="s">
        <v>2199</v>
      </c>
      <c r="D661" s="2" t="s">
        <v>2200</v>
      </c>
      <c r="E661" s="2" t="s">
        <v>13</v>
      </c>
      <c r="F661" s="2">
        <v>2015</v>
      </c>
      <c r="G661" s="3">
        <v>42153</v>
      </c>
      <c r="H661" s="2" t="s">
        <v>589</v>
      </c>
      <c r="I661" s="2" t="s">
        <v>15</v>
      </c>
      <c r="J661" s="2" t="s">
        <v>2201</v>
      </c>
    </row>
    <row r="662" spans="1:10" hidden="1" x14ac:dyDescent="0.25">
      <c r="A662" s="2" t="s">
        <v>10</v>
      </c>
      <c r="B662" s="2" t="str">
        <f>"9780071840538"</f>
        <v>9780071840538</v>
      </c>
      <c r="C662" s="2" t="s">
        <v>2202</v>
      </c>
      <c r="D662" s="2" t="s">
        <v>1286</v>
      </c>
      <c r="E662" s="2" t="s">
        <v>13</v>
      </c>
      <c r="F662" s="2">
        <v>2014</v>
      </c>
      <c r="G662" s="3">
        <v>41816</v>
      </c>
      <c r="I662" s="2" t="s">
        <v>44</v>
      </c>
      <c r="J662" s="2" t="s">
        <v>2203</v>
      </c>
    </row>
    <row r="663" spans="1:10" x14ac:dyDescent="0.25">
      <c r="A663" s="2" t="s">
        <v>10</v>
      </c>
      <c r="B663" s="2" t="str">
        <f>"9781259006067"</f>
        <v>9781259006067</v>
      </c>
      <c r="C663" s="2" t="s">
        <v>2204</v>
      </c>
      <c r="D663" s="2" t="s">
        <v>2205</v>
      </c>
      <c r="E663" s="2" t="s">
        <v>13</v>
      </c>
      <c r="F663" s="2">
        <v>2012</v>
      </c>
      <c r="G663" s="3">
        <v>42153</v>
      </c>
      <c r="H663" s="2" t="s">
        <v>2206</v>
      </c>
      <c r="I663" s="2" t="s">
        <v>15</v>
      </c>
      <c r="J663" s="2" t="s">
        <v>2207</v>
      </c>
    </row>
    <row r="664" spans="1:10" x14ac:dyDescent="0.25">
      <c r="A664" s="2" t="s">
        <v>10</v>
      </c>
      <c r="B664" s="2" t="str">
        <f>"9781259007347"</f>
        <v>9781259007347</v>
      </c>
      <c r="C664" s="2" t="s">
        <v>2208</v>
      </c>
      <c r="D664" s="2" t="s">
        <v>2209</v>
      </c>
      <c r="E664" s="2" t="s">
        <v>13</v>
      </c>
      <c r="F664" s="2">
        <v>2013</v>
      </c>
      <c r="G664" s="3">
        <v>42153</v>
      </c>
      <c r="H664" s="2" t="s">
        <v>32</v>
      </c>
      <c r="I664" s="2" t="s">
        <v>15</v>
      </c>
      <c r="J664" s="2" t="s">
        <v>2210</v>
      </c>
    </row>
    <row r="665" spans="1:10" x14ac:dyDescent="0.25">
      <c r="A665" s="2" t="s">
        <v>10</v>
      </c>
      <c r="B665" s="2" t="str">
        <f>"9781259584152"</f>
        <v>9781259584152</v>
      </c>
      <c r="C665" s="2" t="s">
        <v>2211</v>
      </c>
      <c r="D665" s="2" t="s">
        <v>1590</v>
      </c>
      <c r="E665" s="2" t="s">
        <v>13</v>
      </c>
      <c r="F665" s="2">
        <v>2017</v>
      </c>
      <c r="G665" s="3">
        <v>42726</v>
      </c>
      <c r="H665" s="2" t="s">
        <v>853</v>
      </c>
      <c r="I665" s="2" t="s">
        <v>15</v>
      </c>
      <c r="J665" s="2" t="s">
        <v>2212</v>
      </c>
    </row>
    <row r="666" spans="1:10" x14ac:dyDescent="0.25">
      <c r="A666" s="2" t="s">
        <v>10</v>
      </c>
      <c r="B666" s="2" t="str">
        <f>"9781259585531"</f>
        <v>9781259585531</v>
      </c>
      <c r="C666" s="2" t="s">
        <v>2213</v>
      </c>
      <c r="D666" s="2" t="s">
        <v>1470</v>
      </c>
      <c r="E666" s="2" t="s">
        <v>13</v>
      </c>
      <c r="F666" s="2">
        <v>2016</v>
      </c>
      <c r="G666" s="3">
        <v>42612</v>
      </c>
      <c r="H666" s="2" t="s">
        <v>2214</v>
      </c>
      <c r="I666" s="2" t="s">
        <v>15</v>
      </c>
      <c r="J666" s="2" t="s">
        <v>2215</v>
      </c>
    </row>
    <row r="667" spans="1:10" x14ac:dyDescent="0.25">
      <c r="A667" s="2" t="s">
        <v>10</v>
      </c>
      <c r="B667" s="2" t="str">
        <f>"9781259586859"</f>
        <v>9781259586859</v>
      </c>
      <c r="C667" s="2" t="s">
        <v>2216</v>
      </c>
      <c r="D667" s="2" t="s">
        <v>1428</v>
      </c>
      <c r="E667" s="2" t="s">
        <v>13</v>
      </c>
      <c r="F667" s="2">
        <v>2016</v>
      </c>
      <c r="G667" s="3">
        <v>42695</v>
      </c>
      <c r="H667" s="2" t="s">
        <v>485</v>
      </c>
      <c r="I667" s="2" t="s">
        <v>15</v>
      </c>
      <c r="J667" s="2" t="s">
        <v>2217</v>
      </c>
    </row>
    <row r="668" spans="1:10" x14ac:dyDescent="0.25">
      <c r="A668" s="2" t="s">
        <v>10</v>
      </c>
      <c r="B668" s="2" t="str">
        <f>"9781259584275"</f>
        <v>9781259584275</v>
      </c>
      <c r="C668" s="2" t="s">
        <v>2218</v>
      </c>
      <c r="D668" s="2" t="s">
        <v>760</v>
      </c>
      <c r="E668" s="2" t="s">
        <v>13</v>
      </c>
      <c r="F668" s="2">
        <v>2016</v>
      </c>
      <c r="G668" s="3">
        <v>42642</v>
      </c>
      <c r="H668" s="2" t="s">
        <v>95</v>
      </c>
      <c r="I668" s="2" t="s">
        <v>15</v>
      </c>
      <c r="J668" s="2" t="s">
        <v>2219</v>
      </c>
    </row>
    <row r="669" spans="1:10" x14ac:dyDescent="0.25">
      <c r="A669" s="2" t="s">
        <v>10</v>
      </c>
      <c r="B669" s="2" t="str">
        <f>"9781259584428"</f>
        <v>9781259584428</v>
      </c>
      <c r="C669" s="2" t="s">
        <v>2220</v>
      </c>
      <c r="D669" s="2" t="s">
        <v>2160</v>
      </c>
      <c r="E669" s="2" t="s">
        <v>13</v>
      </c>
      <c r="F669" s="2">
        <v>2017</v>
      </c>
      <c r="G669" s="3">
        <v>42915</v>
      </c>
      <c r="H669" s="2" t="s">
        <v>853</v>
      </c>
      <c r="I669" s="2" t="s">
        <v>15</v>
      </c>
      <c r="J669" s="2" t="s">
        <v>2221</v>
      </c>
    </row>
    <row r="670" spans="1:10" x14ac:dyDescent="0.25">
      <c r="A670" s="2" t="s">
        <v>10</v>
      </c>
      <c r="B670" s="2" t="str">
        <f>"9780071850445"</f>
        <v>9780071850445</v>
      </c>
      <c r="C670" s="2" t="s">
        <v>2222</v>
      </c>
      <c r="D670" s="2" t="s">
        <v>634</v>
      </c>
      <c r="E670" s="2" t="s">
        <v>13</v>
      </c>
      <c r="F670" s="2">
        <v>2015</v>
      </c>
      <c r="G670" s="3">
        <v>42122</v>
      </c>
      <c r="H670" s="2" t="s">
        <v>1094</v>
      </c>
      <c r="I670" s="2" t="s">
        <v>15</v>
      </c>
      <c r="J670" s="2" t="s">
        <v>2223</v>
      </c>
    </row>
    <row r="671" spans="1:10" x14ac:dyDescent="0.25">
      <c r="A671" s="2" t="s">
        <v>10</v>
      </c>
      <c r="B671" s="2" t="str">
        <f>"9781259587450"</f>
        <v>9781259587450</v>
      </c>
      <c r="C671" s="2" t="s">
        <v>2224</v>
      </c>
      <c r="D671" s="2" t="s">
        <v>2225</v>
      </c>
      <c r="E671" s="2" t="s">
        <v>13</v>
      </c>
      <c r="F671" s="2">
        <v>2017</v>
      </c>
      <c r="G671" s="3">
        <v>42943</v>
      </c>
      <c r="H671" s="2" t="s">
        <v>32</v>
      </c>
      <c r="I671" s="2" t="s">
        <v>15</v>
      </c>
      <c r="J671" s="2" t="s">
        <v>2226</v>
      </c>
    </row>
    <row r="672" spans="1:10" x14ac:dyDescent="0.25">
      <c r="A672" s="2" t="s">
        <v>10</v>
      </c>
      <c r="B672" s="2" t="str">
        <f>"9781259585043"</f>
        <v>9781259585043</v>
      </c>
      <c r="C672" s="2" t="s">
        <v>2227</v>
      </c>
      <c r="D672" s="2" t="s">
        <v>2228</v>
      </c>
      <c r="E672" s="2" t="s">
        <v>13</v>
      </c>
      <c r="F672" s="2">
        <v>2016</v>
      </c>
      <c r="G672" s="3">
        <v>42612</v>
      </c>
      <c r="H672" s="2" t="s">
        <v>2229</v>
      </c>
      <c r="I672" s="2" t="s">
        <v>15</v>
      </c>
      <c r="J672" s="2" t="s">
        <v>2230</v>
      </c>
    </row>
    <row r="673" spans="1:10" x14ac:dyDescent="0.25">
      <c r="A673" s="2" t="s">
        <v>10</v>
      </c>
      <c r="B673" s="2" t="str">
        <f>"9781259587542"</f>
        <v>9781259587542</v>
      </c>
      <c r="C673" s="2" t="s">
        <v>2231</v>
      </c>
      <c r="D673" s="2" t="s">
        <v>1581</v>
      </c>
      <c r="E673" s="2" t="s">
        <v>13</v>
      </c>
      <c r="F673" s="2">
        <v>2016</v>
      </c>
      <c r="G673" s="3">
        <v>42577</v>
      </c>
      <c r="H673" s="2" t="s">
        <v>857</v>
      </c>
      <c r="I673" s="2" t="s">
        <v>15</v>
      </c>
      <c r="J673" s="2" t="s">
        <v>2232</v>
      </c>
    </row>
    <row r="674" spans="1:10" x14ac:dyDescent="0.25">
      <c r="A674" s="2" t="s">
        <v>10</v>
      </c>
      <c r="B674" s="2" t="str">
        <f>"9781259058462"</f>
        <v>9781259058462</v>
      </c>
      <c r="C674" s="2" t="s">
        <v>2233</v>
      </c>
      <c r="D674" s="2" t="s">
        <v>2234</v>
      </c>
      <c r="E674" s="2" t="s">
        <v>13</v>
      </c>
      <c r="F674" s="2">
        <v>2014</v>
      </c>
      <c r="G674" s="3">
        <v>41999</v>
      </c>
      <c r="H674" s="2" t="s">
        <v>2235</v>
      </c>
      <c r="I674" s="2" t="s">
        <v>15</v>
      </c>
      <c r="J674" s="2" t="s">
        <v>2236</v>
      </c>
    </row>
    <row r="675" spans="1:10" hidden="1" x14ac:dyDescent="0.25">
      <c r="A675" s="2" t="s">
        <v>10</v>
      </c>
      <c r="B675" s="2" t="str">
        <f>"9780072466850"</f>
        <v>9780072466850</v>
      </c>
      <c r="C675" s="2" t="s">
        <v>2237</v>
      </c>
      <c r="D675" s="2" t="s">
        <v>2238</v>
      </c>
      <c r="E675" s="2" t="s">
        <v>13</v>
      </c>
      <c r="F675" s="2">
        <v>2006</v>
      </c>
      <c r="G675" s="3">
        <v>42915</v>
      </c>
      <c r="I675" s="2" t="s">
        <v>44</v>
      </c>
      <c r="J675" s="2" t="s">
        <v>2239</v>
      </c>
    </row>
    <row r="676" spans="1:10" x14ac:dyDescent="0.25">
      <c r="A676" s="2" t="s">
        <v>10</v>
      </c>
      <c r="B676" s="2" t="str">
        <f>"9781259585616"</f>
        <v>9781259585616</v>
      </c>
      <c r="C676" s="2" t="s">
        <v>2240</v>
      </c>
      <c r="D676" s="2" t="s">
        <v>2241</v>
      </c>
      <c r="E676" s="2" t="s">
        <v>13</v>
      </c>
      <c r="F676" s="2">
        <v>2016</v>
      </c>
      <c r="G676" s="3">
        <v>42642</v>
      </c>
      <c r="H676" s="2" t="s">
        <v>2242</v>
      </c>
      <c r="I676" s="2" t="s">
        <v>15</v>
      </c>
      <c r="J676" s="2" t="s">
        <v>2243</v>
      </c>
    </row>
    <row r="677" spans="1:10" x14ac:dyDescent="0.25">
      <c r="A677" s="2" t="s">
        <v>10</v>
      </c>
      <c r="B677" s="2" t="str">
        <f>"9781259586095"</f>
        <v>9781259586095</v>
      </c>
      <c r="C677" s="2" t="s">
        <v>2244</v>
      </c>
      <c r="D677" s="2" t="s">
        <v>2245</v>
      </c>
      <c r="E677" s="2" t="s">
        <v>13</v>
      </c>
      <c r="F677" s="2">
        <v>2017</v>
      </c>
      <c r="G677" s="3">
        <v>42713</v>
      </c>
      <c r="H677" s="2" t="s">
        <v>599</v>
      </c>
      <c r="I677" s="2" t="s">
        <v>15</v>
      </c>
      <c r="J677" s="2" t="s">
        <v>2246</v>
      </c>
    </row>
    <row r="678" spans="1:10" x14ac:dyDescent="0.25">
      <c r="A678" s="2" t="s">
        <v>10</v>
      </c>
      <c r="B678" s="2" t="str">
        <f>"9781259002731"</f>
        <v>9781259002731</v>
      </c>
      <c r="C678" s="2" t="s">
        <v>2247</v>
      </c>
      <c r="D678" s="2" t="s">
        <v>2248</v>
      </c>
      <c r="E678" s="2" t="s">
        <v>13</v>
      </c>
      <c r="F678" s="2">
        <v>2012</v>
      </c>
      <c r="G678" s="3">
        <v>42153</v>
      </c>
      <c r="H678" s="2" t="s">
        <v>2249</v>
      </c>
      <c r="I678" s="2" t="s">
        <v>15</v>
      </c>
      <c r="J678" s="2" t="s">
        <v>2250</v>
      </c>
    </row>
    <row r="679" spans="1:10" x14ac:dyDescent="0.25">
      <c r="A679" s="2" t="s">
        <v>10</v>
      </c>
      <c r="B679" s="2" t="str">
        <f>"9781259007323"</f>
        <v>9781259007323</v>
      </c>
      <c r="C679" s="2" t="s">
        <v>2251</v>
      </c>
      <c r="D679" s="2" t="s">
        <v>1030</v>
      </c>
      <c r="E679" s="2" t="s">
        <v>13</v>
      </c>
      <c r="F679" s="2">
        <v>2012</v>
      </c>
      <c r="G679" s="3">
        <v>41999</v>
      </c>
      <c r="H679" s="2" t="s">
        <v>2252</v>
      </c>
      <c r="I679" s="2" t="s">
        <v>15</v>
      </c>
      <c r="J679" s="2" t="s">
        <v>2253</v>
      </c>
    </row>
    <row r="680" spans="1:10" x14ac:dyDescent="0.25">
      <c r="A680" s="2" t="s">
        <v>10</v>
      </c>
      <c r="B680" s="2" t="str">
        <f>"9781259587405"</f>
        <v>9781259587405</v>
      </c>
      <c r="C680" s="2" t="s">
        <v>2254</v>
      </c>
      <c r="D680" s="2" t="s">
        <v>1383</v>
      </c>
      <c r="E680" s="2" t="s">
        <v>13</v>
      </c>
      <c r="F680" s="2">
        <v>2016</v>
      </c>
      <c r="G680" s="3">
        <v>42361</v>
      </c>
      <c r="H680" s="2" t="s">
        <v>1384</v>
      </c>
      <c r="I680" s="2" t="s">
        <v>15</v>
      </c>
      <c r="J680" s="2" t="s">
        <v>2255</v>
      </c>
    </row>
    <row r="681" spans="1:10" x14ac:dyDescent="0.25">
      <c r="A681" s="2" t="s">
        <v>10</v>
      </c>
      <c r="B681" s="2" t="str">
        <f>"9781259587665"</f>
        <v>9781259587665</v>
      </c>
      <c r="C681" s="2" t="s">
        <v>2256</v>
      </c>
      <c r="D681" s="2" t="s">
        <v>2257</v>
      </c>
      <c r="E681" s="2" t="s">
        <v>13</v>
      </c>
      <c r="F681" s="2">
        <v>2016</v>
      </c>
      <c r="G681" s="3">
        <v>42550</v>
      </c>
      <c r="H681" s="2" t="s">
        <v>2258</v>
      </c>
      <c r="I681" s="2" t="s">
        <v>15</v>
      </c>
      <c r="J681" s="2" t="s">
        <v>2259</v>
      </c>
    </row>
    <row r="682" spans="1:10" x14ac:dyDescent="0.25">
      <c r="A682" s="2" t="s">
        <v>10</v>
      </c>
      <c r="B682" s="2" t="str">
        <f>"9780073250328"</f>
        <v>9780073250328</v>
      </c>
      <c r="C682" s="2" t="s">
        <v>2260</v>
      </c>
      <c r="D682" s="2" t="s">
        <v>2261</v>
      </c>
      <c r="E682" s="2" t="s">
        <v>13</v>
      </c>
      <c r="F682" s="2">
        <v>2007</v>
      </c>
      <c r="G682" s="3">
        <v>40909</v>
      </c>
      <c r="H682" s="2" t="s">
        <v>1981</v>
      </c>
      <c r="I682" s="2" t="s">
        <v>15</v>
      </c>
      <c r="J682" s="2" t="s">
        <v>2262</v>
      </c>
    </row>
    <row r="683" spans="1:10" x14ac:dyDescent="0.25">
      <c r="A683" s="2" t="s">
        <v>10</v>
      </c>
      <c r="B683" s="2" t="str">
        <f>"9781259028472"</f>
        <v>9781259028472</v>
      </c>
      <c r="C683" s="2" t="s">
        <v>2263</v>
      </c>
      <c r="D683" s="2" t="s">
        <v>2264</v>
      </c>
      <c r="E683" s="2" t="s">
        <v>13</v>
      </c>
      <c r="F683" s="2">
        <v>2013</v>
      </c>
      <c r="G683" s="3">
        <v>42153</v>
      </c>
      <c r="H683" s="2" t="s">
        <v>794</v>
      </c>
      <c r="I683" s="2" t="s">
        <v>15</v>
      </c>
      <c r="J683" s="2" t="s">
        <v>2265</v>
      </c>
    </row>
    <row r="684" spans="1:10" x14ac:dyDescent="0.25">
      <c r="A684" s="2" t="s">
        <v>10</v>
      </c>
      <c r="B684" s="2" t="str">
        <f>"9780074455494"</f>
        <v>9780074455494</v>
      </c>
      <c r="C684" s="2" t="s">
        <v>2266</v>
      </c>
      <c r="D684" s="2" t="s">
        <v>2267</v>
      </c>
      <c r="E684" s="2" t="s">
        <v>13</v>
      </c>
      <c r="F684" s="2">
        <v>2001</v>
      </c>
      <c r="G684" s="3">
        <v>40909</v>
      </c>
      <c r="H684" s="2" t="s">
        <v>2268</v>
      </c>
      <c r="I684" s="2" t="s">
        <v>15</v>
      </c>
      <c r="J684" s="2" t="s">
        <v>2269</v>
      </c>
    </row>
    <row r="685" spans="1:10" x14ac:dyDescent="0.25">
      <c r="A685" s="2" t="s">
        <v>10</v>
      </c>
      <c r="B685" s="2" t="str">
        <f>"9781259587696"</f>
        <v>9781259587696</v>
      </c>
      <c r="C685" s="2" t="s">
        <v>2270</v>
      </c>
      <c r="D685" s="2" t="s">
        <v>2129</v>
      </c>
      <c r="E685" s="2" t="s">
        <v>13</v>
      </c>
      <c r="F685" s="2">
        <v>2018</v>
      </c>
      <c r="G685" s="3">
        <v>43061</v>
      </c>
      <c r="H685" s="2" t="s">
        <v>338</v>
      </c>
      <c r="I685" s="2" t="s">
        <v>15</v>
      </c>
      <c r="J685" s="2" t="s">
        <v>2271</v>
      </c>
    </row>
    <row r="686" spans="1:10" x14ac:dyDescent="0.25">
      <c r="A686" s="2" t="s">
        <v>10</v>
      </c>
      <c r="B686" s="2" t="str">
        <f>"9780071850490"</f>
        <v>9780071850490</v>
      </c>
      <c r="C686" s="2" t="s">
        <v>2272</v>
      </c>
      <c r="D686" s="2" t="s">
        <v>2273</v>
      </c>
      <c r="E686" s="2" t="s">
        <v>13</v>
      </c>
      <c r="F686" s="2">
        <v>2016</v>
      </c>
      <c r="G686" s="3">
        <v>42642</v>
      </c>
      <c r="H686" s="2" t="s">
        <v>2274</v>
      </c>
      <c r="I686" s="2" t="s">
        <v>15</v>
      </c>
      <c r="J686" s="2" t="s">
        <v>2275</v>
      </c>
    </row>
    <row r="687" spans="1:10" x14ac:dyDescent="0.25">
      <c r="A687" s="2" t="s">
        <v>10</v>
      </c>
      <c r="B687" s="2" t="str">
        <f>"9781259585173"</f>
        <v>9781259585173</v>
      </c>
      <c r="C687" s="2" t="s">
        <v>2276</v>
      </c>
      <c r="D687" s="2" t="s">
        <v>2277</v>
      </c>
      <c r="E687" s="2" t="s">
        <v>13</v>
      </c>
      <c r="F687" s="2">
        <v>2018</v>
      </c>
      <c r="G687" s="3">
        <v>42876</v>
      </c>
      <c r="H687" s="2" t="s">
        <v>2278</v>
      </c>
      <c r="I687" s="2" t="s">
        <v>15</v>
      </c>
      <c r="J687" s="2" t="s">
        <v>2279</v>
      </c>
    </row>
    <row r="688" spans="1:10" x14ac:dyDescent="0.25">
      <c r="A688" s="2" t="s">
        <v>10</v>
      </c>
      <c r="B688" s="2" t="str">
        <f>"9781259063732"</f>
        <v>9781259063732</v>
      </c>
      <c r="C688" s="2" t="s">
        <v>2280</v>
      </c>
      <c r="D688" s="2" t="s">
        <v>2281</v>
      </c>
      <c r="E688" s="2" t="s">
        <v>13</v>
      </c>
      <c r="F688" s="2">
        <v>2014</v>
      </c>
      <c r="G688" s="3">
        <v>41999</v>
      </c>
      <c r="H688" s="2" t="s">
        <v>2282</v>
      </c>
      <c r="I688" s="2" t="s">
        <v>15</v>
      </c>
      <c r="J688" s="2" t="s">
        <v>2283</v>
      </c>
    </row>
    <row r="689" spans="1:10" x14ac:dyDescent="0.25">
      <c r="A689" s="2" t="s">
        <v>10</v>
      </c>
      <c r="B689" s="2" t="str">
        <f>"9780071850131"</f>
        <v>9780071850131</v>
      </c>
      <c r="C689" s="2" t="s">
        <v>2284</v>
      </c>
      <c r="D689" s="2" t="s">
        <v>2285</v>
      </c>
      <c r="E689" s="2" t="s">
        <v>13</v>
      </c>
      <c r="F689" s="2">
        <v>2015</v>
      </c>
      <c r="G689" s="3">
        <v>42170</v>
      </c>
      <c r="H689" s="2" t="s">
        <v>2286</v>
      </c>
      <c r="I689" s="2" t="s">
        <v>15</v>
      </c>
      <c r="J689" s="2" t="s">
        <v>2287</v>
      </c>
    </row>
    <row r="690" spans="1:10" x14ac:dyDescent="0.25">
      <c r="A690" s="2" t="s">
        <v>10</v>
      </c>
      <c r="B690" s="2" t="str">
        <f>"9781259058479"</f>
        <v>9781259058479</v>
      </c>
      <c r="C690" s="2" t="s">
        <v>2288</v>
      </c>
      <c r="D690" s="2" t="s">
        <v>2289</v>
      </c>
      <c r="E690" s="2" t="s">
        <v>13</v>
      </c>
      <c r="F690" s="2">
        <v>2013</v>
      </c>
      <c r="G690" s="3">
        <v>42153</v>
      </c>
      <c r="H690" s="2" t="s">
        <v>2290</v>
      </c>
      <c r="I690" s="2" t="s">
        <v>15</v>
      </c>
      <c r="J690" s="2" t="s">
        <v>2291</v>
      </c>
    </row>
    <row r="691" spans="1:10" x14ac:dyDescent="0.25">
      <c r="A691" s="2" t="s">
        <v>10</v>
      </c>
      <c r="B691" s="2" t="str">
        <f>"9781259586125"</f>
        <v>9781259586125</v>
      </c>
      <c r="C691" s="2" t="s">
        <v>2292</v>
      </c>
      <c r="D691" s="2" t="s">
        <v>2293</v>
      </c>
      <c r="E691" s="2" t="s">
        <v>13</v>
      </c>
      <c r="F691" s="2">
        <v>2015</v>
      </c>
      <c r="G691" s="3">
        <v>42306</v>
      </c>
      <c r="H691" s="2" t="s">
        <v>2294</v>
      </c>
      <c r="I691" s="2" t="s">
        <v>15</v>
      </c>
      <c r="J691" s="2" t="s">
        <v>2295</v>
      </c>
    </row>
    <row r="692" spans="1:10" x14ac:dyDescent="0.25">
      <c r="A692" s="2" t="s">
        <v>10</v>
      </c>
      <c r="B692" s="2" t="str">
        <f>"9781259585630"</f>
        <v>9781259585630</v>
      </c>
      <c r="C692" s="2" t="s">
        <v>2296</v>
      </c>
      <c r="D692" s="2" t="s">
        <v>2297</v>
      </c>
      <c r="E692" s="2" t="s">
        <v>13</v>
      </c>
      <c r="F692" s="2">
        <v>2019</v>
      </c>
      <c r="G692" s="3">
        <v>43495</v>
      </c>
      <c r="H692" s="2" t="s">
        <v>2298</v>
      </c>
      <c r="I692" s="2" t="s">
        <v>15</v>
      </c>
      <c r="J692" s="2" t="s">
        <v>2299</v>
      </c>
    </row>
    <row r="693" spans="1:10" x14ac:dyDescent="0.25">
      <c r="A693" s="2" t="s">
        <v>10</v>
      </c>
      <c r="B693" s="2" t="str">
        <f>"9781259584404"</f>
        <v>9781259584404</v>
      </c>
      <c r="C693" s="2" t="s">
        <v>2300</v>
      </c>
      <c r="D693" s="2" t="s">
        <v>2301</v>
      </c>
      <c r="E693" s="2" t="s">
        <v>13</v>
      </c>
      <c r="F693" s="2">
        <v>2016</v>
      </c>
      <c r="G693" s="3">
        <v>42551</v>
      </c>
      <c r="H693" s="2" t="s">
        <v>1646</v>
      </c>
      <c r="I693" s="2" t="s">
        <v>15</v>
      </c>
      <c r="J693" s="2" t="s">
        <v>2302</v>
      </c>
    </row>
    <row r="694" spans="1:10" x14ac:dyDescent="0.25">
      <c r="A694" s="2" t="s">
        <v>10</v>
      </c>
      <c r="B694" s="2" t="str">
        <f>"9781259006050"</f>
        <v>9781259006050</v>
      </c>
      <c r="C694" s="2" t="s">
        <v>2303</v>
      </c>
      <c r="D694" s="2" t="s">
        <v>216</v>
      </c>
      <c r="E694" s="2" t="s">
        <v>13</v>
      </c>
      <c r="F694" s="2">
        <v>2012</v>
      </c>
      <c r="G694" s="3">
        <v>42122</v>
      </c>
      <c r="H694" s="2" t="s">
        <v>2304</v>
      </c>
      <c r="I694" s="2" t="s">
        <v>15</v>
      </c>
      <c r="J694" s="2" t="s">
        <v>2305</v>
      </c>
    </row>
    <row r="695" spans="1:10" x14ac:dyDescent="0.25">
      <c r="A695" s="2" t="s">
        <v>10</v>
      </c>
      <c r="B695" s="2" t="str">
        <f>"9781259587429"</f>
        <v>9781259587429</v>
      </c>
      <c r="C695" s="2" t="s">
        <v>2306</v>
      </c>
      <c r="D695" s="2" t="s">
        <v>2307</v>
      </c>
      <c r="E695" s="2" t="s">
        <v>13</v>
      </c>
      <c r="F695" s="2">
        <v>2016</v>
      </c>
      <c r="G695" s="3">
        <v>42493</v>
      </c>
      <c r="H695" s="2" t="s">
        <v>2308</v>
      </c>
      <c r="I695" s="2" t="s">
        <v>15</v>
      </c>
      <c r="J695" s="2" t="s">
        <v>2309</v>
      </c>
    </row>
    <row r="696" spans="1:10" x14ac:dyDescent="0.25">
      <c r="A696" s="2" t="s">
        <v>10</v>
      </c>
      <c r="B696" s="2" t="str">
        <f>"9781259007361"</f>
        <v>9781259007361</v>
      </c>
      <c r="C696" s="2" t="s">
        <v>2310</v>
      </c>
      <c r="D696" s="2" t="s">
        <v>2311</v>
      </c>
      <c r="E696" s="2" t="s">
        <v>13</v>
      </c>
      <c r="F696" s="2">
        <v>2012</v>
      </c>
      <c r="G696" s="3">
        <v>42063</v>
      </c>
      <c r="H696" s="2" t="s">
        <v>2312</v>
      </c>
      <c r="I696" s="2" t="s">
        <v>15</v>
      </c>
      <c r="J696" s="2" t="s">
        <v>2313</v>
      </c>
    </row>
    <row r="697" spans="1:10" x14ac:dyDescent="0.25">
      <c r="A697" s="2" t="s">
        <v>10</v>
      </c>
      <c r="B697" s="2" t="str">
        <f>"9781259585722"</f>
        <v>9781259585722</v>
      </c>
      <c r="C697" s="2" t="s">
        <v>2314</v>
      </c>
      <c r="D697" s="2" t="s">
        <v>2315</v>
      </c>
      <c r="E697" s="2" t="s">
        <v>13</v>
      </c>
      <c r="F697" s="2">
        <v>2020</v>
      </c>
      <c r="G697" s="3">
        <v>44069</v>
      </c>
      <c r="H697" s="2" t="s">
        <v>896</v>
      </c>
      <c r="I697" s="2" t="s">
        <v>15</v>
      </c>
      <c r="J697" s="2" t="s">
        <v>2316</v>
      </c>
    </row>
    <row r="698" spans="1:10" x14ac:dyDescent="0.25">
      <c r="A698" s="2" t="s">
        <v>10</v>
      </c>
      <c r="B698" s="2" t="str">
        <f>"9781259585098"</f>
        <v>9781259585098</v>
      </c>
      <c r="C698" s="2" t="s">
        <v>2317</v>
      </c>
      <c r="D698" s="2" t="s">
        <v>1753</v>
      </c>
      <c r="E698" s="2" t="s">
        <v>13</v>
      </c>
      <c r="F698" s="2">
        <v>2016</v>
      </c>
      <c r="G698" s="3">
        <v>42516</v>
      </c>
      <c r="H698" s="2" t="s">
        <v>1429</v>
      </c>
      <c r="I698" s="2" t="s">
        <v>15</v>
      </c>
      <c r="J698" s="2" t="s">
        <v>2318</v>
      </c>
    </row>
    <row r="699" spans="1:10" x14ac:dyDescent="0.25">
      <c r="A699" s="2" t="s">
        <v>10</v>
      </c>
      <c r="B699" s="2" t="str">
        <f>"9781259587122"</f>
        <v>9781259587122</v>
      </c>
      <c r="C699" s="2" t="s">
        <v>2319</v>
      </c>
      <c r="D699" s="2" t="s">
        <v>2320</v>
      </c>
      <c r="E699" s="2" t="s">
        <v>13</v>
      </c>
      <c r="F699" s="2">
        <v>2015</v>
      </c>
      <c r="G699" s="3">
        <v>42305</v>
      </c>
      <c r="H699" s="2" t="s">
        <v>2321</v>
      </c>
      <c r="I699" s="2" t="s">
        <v>15</v>
      </c>
      <c r="J699" s="2" t="s">
        <v>2322</v>
      </c>
    </row>
    <row r="700" spans="1:10" x14ac:dyDescent="0.25">
      <c r="A700" s="2" t="s">
        <v>10</v>
      </c>
      <c r="B700" s="2" t="str">
        <f>"9781259587276"</f>
        <v>9781259587276</v>
      </c>
      <c r="C700" s="2" t="s">
        <v>2323</v>
      </c>
      <c r="D700" s="2" t="s">
        <v>2324</v>
      </c>
      <c r="E700" s="2" t="s">
        <v>13</v>
      </c>
      <c r="F700" s="2" t="s">
        <v>2325</v>
      </c>
      <c r="G700" s="3">
        <v>42429</v>
      </c>
      <c r="H700" s="2" t="s">
        <v>2114</v>
      </c>
      <c r="I700" s="2" t="s">
        <v>15</v>
      </c>
      <c r="J700" s="2" t="s">
        <v>2326</v>
      </c>
    </row>
    <row r="701" spans="1:10" x14ac:dyDescent="0.25">
      <c r="A701" s="2" t="s">
        <v>10</v>
      </c>
      <c r="B701" s="2" t="str">
        <f>"9781259641336"</f>
        <v>9781259641336</v>
      </c>
      <c r="C701" s="2" t="s">
        <v>2327</v>
      </c>
      <c r="D701" s="2" t="s">
        <v>1159</v>
      </c>
      <c r="E701" s="2" t="s">
        <v>13</v>
      </c>
      <c r="F701" s="2">
        <v>2017</v>
      </c>
      <c r="G701" s="3">
        <v>42727</v>
      </c>
      <c r="H701" s="2" t="s">
        <v>2328</v>
      </c>
      <c r="I701" s="2" t="s">
        <v>15</v>
      </c>
      <c r="J701" s="2" t="s">
        <v>2329</v>
      </c>
    </row>
    <row r="702" spans="1:10" x14ac:dyDescent="0.25">
      <c r="A702" s="2" t="s">
        <v>10</v>
      </c>
      <c r="B702" s="2" t="str">
        <f>"9781259641824"</f>
        <v>9781259641824</v>
      </c>
      <c r="C702" s="2" t="s">
        <v>2330</v>
      </c>
      <c r="D702" s="2" t="s">
        <v>2331</v>
      </c>
      <c r="E702" s="2" t="s">
        <v>13</v>
      </c>
      <c r="F702" s="2">
        <v>2017</v>
      </c>
      <c r="G702" s="3">
        <v>42943</v>
      </c>
      <c r="H702" s="2" t="s">
        <v>2332</v>
      </c>
      <c r="I702" s="2" t="s">
        <v>15</v>
      </c>
      <c r="J702" s="2" t="s">
        <v>2333</v>
      </c>
    </row>
    <row r="703" spans="1:10" x14ac:dyDescent="0.25">
      <c r="A703" s="2" t="s">
        <v>10</v>
      </c>
      <c r="B703" s="2" t="str">
        <f>"9781259837425"</f>
        <v>9781259837425</v>
      </c>
      <c r="C703" s="2" t="s">
        <v>2334</v>
      </c>
      <c r="D703" s="2" t="s">
        <v>2335</v>
      </c>
      <c r="E703" s="2" t="s">
        <v>13</v>
      </c>
      <c r="F703" s="2">
        <v>2017</v>
      </c>
      <c r="G703" s="3">
        <v>43400</v>
      </c>
      <c r="H703" s="2" t="s">
        <v>536</v>
      </c>
      <c r="I703" s="2" t="s">
        <v>15</v>
      </c>
      <c r="J703" s="2" t="s">
        <v>2336</v>
      </c>
    </row>
    <row r="704" spans="1:10" x14ac:dyDescent="0.25">
      <c r="A704" s="2" t="s">
        <v>10</v>
      </c>
      <c r="B704" s="2" t="str">
        <f>"9781259641978"</f>
        <v>9781259641978</v>
      </c>
      <c r="C704" s="2" t="s">
        <v>2337</v>
      </c>
      <c r="D704" s="2" t="s">
        <v>2338</v>
      </c>
      <c r="E704" s="2" t="s">
        <v>13</v>
      </c>
      <c r="F704" s="2">
        <v>2019</v>
      </c>
      <c r="G704" s="3">
        <v>43594</v>
      </c>
      <c r="H704" s="2" t="s">
        <v>834</v>
      </c>
      <c r="I704" s="2" t="s">
        <v>15</v>
      </c>
      <c r="J704" s="2" t="s">
        <v>2339</v>
      </c>
    </row>
    <row r="705" spans="1:10" x14ac:dyDescent="0.25">
      <c r="A705" s="2" t="s">
        <v>10</v>
      </c>
      <c r="B705" s="2" t="str">
        <f>"9781259643613"</f>
        <v>9781259643613</v>
      </c>
      <c r="C705" s="2" t="s">
        <v>2340</v>
      </c>
      <c r="D705" s="2" t="s">
        <v>2341</v>
      </c>
      <c r="E705" s="2" t="s">
        <v>13</v>
      </c>
      <c r="F705" s="2">
        <v>2017</v>
      </c>
      <c r="G705" s="3">
        <v>42403</v>
      </c>
      <c r="H705" s="2" t="s">
        <v>2033</v>
      </c>
      <c r="I705" s="2" t="s">
        <v>15</v>
      </c>
      <c r="J705" s="2" t="s">
        <v>2342</v>
      </c>
    </row>
    <row r="706" spans="1:10" x14ac:dyDescent="0.25">
      <c r="A706" s="2" t="s">
        <v>10</v>
      </c>
      <c r="B706" s="2" t="str">
        <f>"9781259641039"</f>
        <v>9781259641039</v>
      </c>
      <c r="C706" s="2" t="s">
        <v>2343</v>
      </c>
      <c r="D706" s="2" t="s">
        <v>2344</v>
      </c>
      <c r="E706" s="2" t="s">
        <v>13</v>
      </c>
      <c r="F706" s="2">
        <v>2017</v>
      </c>
      <c r="G706" s="3">
        <v>42851</v>
      </c>
      <c r="H706" s="2" t="s">
        <v>2345</v>
      </c>
      <c r="I706" s="2" t="s">
        <v>15</v>
      </c>
      <c r="J706" s="2" t="s">
        <v>2346</v>
      </c>
    </row>
    <row r="707" spans="1:10" x14ac:dyDescent="0.25">
      <c r="A707" s="2" t="s">
        <v>10</v>
      </c>
      <c r="B707" s="2" t="str">
        <f>"9781259859366"</f>
        <v>9781259859366</v>
      </c>
      <c r="C707" s="2" t="s">
        <v>2347</v>
      </c>
      <c r="D707" s="2" t="s">
        <v>2348</v>
      </c>
      <c r="E707" s="2" t="s">
        <v>13</v>
      </c>
      <c r="F707" s="2">
        <v>2017</v>
      </c>
      <c r="G707" s="3">
        <v>42753</v>
      </c>
      <c r="H707" s="2" t="s">
        <v>2349</v>
      </c>
      <c r="I707" s="2" t="s">
        <v>15</v>
      </c>
      <c r="J707" s="2" t="s">
        <v>2350</v>
      </c>
    </row>
    <row r="708" spans="1:10" x14ac:dyDescent="0.25">
      <c r="A708" s="2" t="s">
        <v>10</v>
      </c>
      <c r="B708" s="2" t="str">
        <f>"9781259644696"</f>
        <v>9781259644696</v>
      </c>
      <c r="C708" s="2" t="s">
        <v>2351</v>
      </c>
      <c r="D708" s="2" t="s">
        <v>826</v>
      </c>
      <c r="E708" s="2" t="s">
        <v>13</v>
      </c>
      <c r="F708" s="2">
        <v>2019</v>
      </c>
      <c r="G708" s="3">
        <v>43552</v>
      </c>
      <c r="H708" s="2" t="s">
        <v>900</v>
      </c>
      <c r="I708" s="2" t="s">
        <v>15</v>
      </c>
      <c r="J708" s="2" t="s">
        <v>2352</v>
      </c>
    </row>
    <row r="709" spans="1:10" x14ac:dyDescent="0.25">
      <c r="A709" s="2" t="s">
        <v>10</v>
      </c>
      <c r="B709" s="2" t="str">
        <f>"9781259835704"</f>
        <v>9781259835704</v>
      </c>
      <c r="C709" s="2" t="s">
        <v>2353</v>
      </c>
      <c r="D709" s="2" t="s">
        <v>2354</v>
      </c>
      <c r="E709" s="2" t="s">
        <v>13</v>
      </c>
      <c r="F709" s="2">
        <v>2018</v>
      </c>
      <c r="G709" s="3">
        <v>43221</v>
      </c>
      <c r="H709" s="2" t="s">
        <v>91</v>
      </c>
      <c r="I709" s="2" t="s">
        <v>15</v>
      </c>
      <c r="J709" s="2" t="s">
        <v>2355</v>
      </c>
    </row>
    <row r="710" spans="1:10" x14ac:dyDescent="0.25">
      <c r="A710" s="2" t="s">
        <v>10</v>
      </c>
      <c r="B710" s="2" t="str">
        <f>"9781259640582"</f>
        <v>9781259640582</v>
      </c>
      <c r="C710" s="2" t="s">
        <v>2356</v>
      </c>
      <c r="D710" s="2" t="s">
        <v>1877</v>
      </c>
      <c r="E710" s="2" t="s">
        <v>13</v>
      </c>
      <c r="F710" s="2">
        <v>2016</v>
      </c>
      <c r="G710" s="3">
        <v>42642</v>
      </c>
      <c r="H710" s="2" t="s">
        <v>1384</v>
      </c>
      <c r="I710" s="2" t="s">
        <v>15</v>
      </c>
      <c r="J710" s="2" t="s">
        <v>2357</v>
      </c>
    </row>
    <row r="711" spans="1:10" x14ac:dyDescent="0.25">
      <c r="A711" s="2" t="s">
        <v>10</v>
      </c>
      <c r="B711" s="2" t="str">
        <f>"9781259588501"</f>
        <v>9781259588501</v>
      </c>
      <c r="C711" s="2" t="s">
        <v>2358</v>
      </c>
      <c r="D711" s="2" t="s">
        <v>2359</v>
      </c>
      <c r="E711" s="2" t="s">
        <v>13</v>
      </c>
      <c r="F711" s="2">
        <v>2018</v>
      </c>
      <c r="G711" s="3">
        <v>42787</v>
      </c>
      <c r="H711" s="2" t="s">
        <v>753</v>
      </c>
      <c r="I711" s="2" t="s">
        <v>15</v>
      </c>
      <c r="J711" s="2" t="s">
        <v>2360</v>
      </c>
    </row>
    <row r="712" spans="1:10" x14ac:dyDescent="0.25">
      <c r="A712" s="2" t="s">
        <v>10</v>
      </c>
      <c r="B712" s="2" t="str">
        <f>"9781259643095"</f>
        <v>9781259643095</v>
      </c>
      <c r="C712" s="2" t="s">
        <v>2361</v>
      </c>
      <c r="D712" s="2" t="s">
        <v>2362</v>
      </c>
      <c r="E712" s="2" t="s">
        <v>13</v>
      </c>
      <c r="F712" s="2">
        <v>2017</v>
      </c>
      <c r="G712" s="3">
        <v>42915</v>
      </c>
      <c r="H712" s="2" t="s">
        <v>119</v>
      </c>
      <c r="I712" s="2" t="s">
        <v>15</v>
      </c>
      <c r="J712" s="2" t="s">
        <v>2363</v>
      </c>
    </row>
    <row r="713" spans="1:10" x14ac:dyDescent="0.25">
      <c r="A713" s="2" t="s">
        <v>10</v>
      </c>
      <c r="B713" s="2" t="str">
        <f>"9781259641275"</f>
        <v>9781259641275</v>
      </c>
      <c r="C713" s="2" t="s">
        <v>2364</v>
      </c>
      <c r="D713" s="2" t="s">
        <v>1731</v>
      </c>
      <c r="E713" s="2" t="s">
        <v>13</v>
      </c>
      <c r="F713" s="2">
        <v>2017</v>
      </c>
      <c r="G713" s="3">
        <v>42403</v>
      </c>
      <c r="H713" s="2" t="s">
        <v>853</v>
      </c>
      <c r="I713" s="2" t="s">
        <v>15</v>
      </c>
      <c r="J713" s="2" t="s">
        <v>2365</v>
      </c>
    </row>
    <row r="714" spans="1:10" x14ac:dyDescent="0.25">
      <c r="A714" s="2" t="s">
        <v>10</v>
      </c>
      <c r="B714" s="2" t="str">
        <f>"9781259641756"</f>
        <v>9781259641756</v>
      </c>
      <c r="C714" s="2" t="s">
        <v>2366</v>
      </c>
      <c r="D714" s="2" t="s">
        <v>2367</v>
      </c>
      <c r="E714" s="2" t="s">
        <v>13</v>
      </c>
      <c r="F714" s="2">
        <v>2017</v>
      </c>
      <c r="G714" s="3">
        <v>42943</v>
      </c>
      <c r="H714" s="2" t="s">
        <v>23</v>
      </c>
      <c r="I714" s="2" t="s">
        <v>15</v>
      </c>
      <c r="J714" s="2" t="s">
        <v>2368</v>
      </c>
    </row>
    <row r="715" spans="1:10" x14ac:dyDescent="0.25">
      <c r="A715" s="2" t="s">
        <v>10</v>
      </c>
      <c r="B715" s="2" t="str">
        <f>"9781259644344"</f>
        <v>9781259644344</v>
      </c>
      <c r="C715" s="2" t="s">
        <v>2369</v>
      </c>
      <c r="D715" s="2" t="s">
        <v>2370</v>
      </c>
      <c r="E715" s="2" t="s">
        <v>13</v>
      </c>
      <c r="F715" s="2">
        <v>2016</v>
      </c>
      <c r="G715" s="3">
        <v>42695</v>
      </c>
      <c r="H715" s="2" t="s">
        <v>2371</v>
      </c>
      <c r="I715" s="2" t="s">
        <v>15</v>
      </c>
      <c r="J715" s="2" t="s">
        <v>2372</v>
      </c>
    </row>
    <row r="716" spans="1:10" x14ac:dyDescent="0.25">
      <c r="A716" s="2" t="s">
        <v>10</v>
      </c>
      <c r="B716" s="2" t="str">
        <f>"9781259644153"</f>
        <v>9781259644153</v>
      </c>
      <c r="C716" s="2" t="s">
        <v>2373</v>
      </c>
      <c r="D716" s="2" t="s">
        <v>2374</v>
      </c>
      <c r="E716" s="2" t="s">
        <v>13</v>
      </c>
      <c r="F716" s="2">
        <v>2017</v>
      </c>
      <c r="G716" s="3">
        <v>42999</v>
      </c>
      <c r="H716" s="2" t="s">
        <v>1497</v>
      </c>
      <c r="I716" s="2" t="s">
        <v>15</v>
      </c>
      <c r="J716" s="2" t="s">
        <v>2375</v>
      </c>
    </row>
    <row r="717" spans="1:10" x14ac:dyDescent="0.25">
      <c r="A717" s="2" t="s">
        <v>10</v>
      </c>
      <c r="B717" s="2" t="str">
        <f>"9781259837906"</f>
        <v>9781259837906</v>
      </c>
      <c r="C717" s="2" t="s">
        <v>2376</v>
      </c>
      <c r="D717" s="2" t="s">
        <v>2040</v>
      </c>
      <c r="E717" s="2" t="s">
        <v>13</v>
      </c>
      <c r="F717" s="2">
        <v>2017</v>
      </c>
      <c r="G717" s="3">
        <v>42977</v>
      </c>
      <c r="H717" s="2" t="s">
        <v>2377</v>
      </c>
      <c r="I717" s="2" t="s">
        <v>15</v>
      </c>
      <c r="J717" s="2" t="s">
        <v>2378</v>
      </c>
    </row>
    <row r="718" spans="1:10" x14ac:dyDescent="0.25">
      <c r="A718" s="2" t="s">
        <v>10</v>
      </c>
      <c r="B718" s="2" t="str">
        <f>"9781259589676"</f>
        <v>9781259589676</v>
      </c>
      <c r="C718" s="2" t="s">
        <v>2379</v>
      </c>
      <c r="D718" s="2" t="s">
        <v>1634</v>
      </c>
      <c r="E718" s="2" t="s">
        <v>13</v>
      </c>
      <c r="F718" s="2">
        <v>2016</v>
      </c>
      <c r="G718" s="3">
        <v>42516</v>
      </c>
      <c r="H718" s="2" t="s">
        <v>2027</v>
      </c>
      <c r="I718" s="2" t="s">
        <v>15</v>
      </c>
      <c r="J718" s="2" t="s">
        <v>2380</v>
      </c>
    </row>
    <row r="719" spans="1:10" x14ac:dyDescent="0.25">
      <c r="A719" s="2" t="s">
        <v>10</v>
      </c>
      <c r="B719" s="2" t="str">
        <f>"9781259641633"</f>
        <v>9781259641633</v>
      </c>
      <c r="C719" s="2" t="s">
        <v>2381</v>
      </c>
      <c r="D719" s="2" t="s">
        <v>2382</v>
      </c>
      <c r="E719" s="2" t="s">
        <v>13</v>
      </c>
      <c r="F719" s="2">
        <v>2016</v>
      </c>
      <c r="G719" s="3">
        <v>42642</v>
      </c>
      <c r="H719" s="2" t="s">
        <v>1384</v>
      </c>
      <c r="I719" s="2" t="s">
        <v>15</v>
      </c>
      <c r="J719" s="2" t="s">
        <v>2383</v>
      </c>
    </row>
    <row r="720" spans="1:10" x14ac:dyDescent="0.25">
      <c r="A720" s="2" t="s">
        <v>10</v>
      </c>
      <c r="B720" s="2" t="str">
        <f>"9781259641084"</f>
        <v>9781259641084</v>
      </c>
      <c r="C720" s="2" t="s">
        <v>2384</v>
      </c>
      <c r="D720" s="2" t="s">
        <v>1405</v>
      </c>
      <c r="E720" s="2" t="s">
        <v>13</v>
      </c>
      <c r="F720" s="2">
        <v>2016</v>
      </c>
      <c r="G720" s="3">
        <v>42424</v>
      </c>
      <c r="H720" s="2" t="s">
        <v>1406</v>
      </c>
      <c r="I720" s="2" t="s">
        <v>15</v>
      </c>
      <c r="J720" s="2" t="s">
        <v>2385</v>
      </c>
    </row>
    <row r="721" spans="1:10" x14ac:dyDescent="0.25">
      <c r="A721" s="2" t="s">
        <v>10</v>
      </c>
      <c r="B721" s="2" t="str">
        <f>"9781259588662"</f>
        <v>9781259588662</v>
      </c>
      <c r="C721" s="2" t="s">
        <v>2386</v>
      </c>
      <c r="D721" s="2" t="s">
        <v>2387</v>
      </c>
      <c r="E721" s="2" t="s">
        <v>13</v>
      </c>
      <c r="F721" s="2">
        <v>2017</v>
      </c>
      <c r="G721" s="3">
        <v>42851</v>
      </c>
      <c r="H721" s="2" t="s">
        <v>302</v>
      </c>
      <c r="I721" s="2" t="s">
        <v>15</v>
      </c>
      <c r="J721" s="2" t="s">
        <v>2388</v>
      </c>
    </row>
    <row r="722" spans="1:10" x14ac:dyDescent="0.25">
      <c r="A722" s="2" t="s">
        <v>10</v>
      </c>
      <c r="B722" s="2" t="str">
        <f>"9781259644931"</f>
        <v>9781259644931</v>
      </c>
      <c r="C722" s="2" t="s">
        <v>2389</v>
      </c>
      <c r="D722" s="2" t="s">
        <v>2390</v>
      </c>
      <c r="E722" s="2" t="s">
        <v>13</v>
      </c>
      <c r="F722" s="2">
        <v>2017</v>
      </c>
      <c r="G722" s="3">
        <v>42695</v>
      </c>
      <c r="H722" s="2" t="s">
        <v>52</v>
      </c>
      <c r="I722" s="2" t="s">
        <v>15</v>
      </c>
      <c r="J722" s="2" t="s">
        <v>2391</v>
      </c>
    </row>
    <row r="723" spans="1:10" x14ac:dyDescent="0.25">
      <c r="A723" s="2" t="s">
        <v>10</v>
      </c>
      <c r="B723" s="2" t="str">
        <f>"9781259643132"</f>
        <v>9781259643132</v>
      </c>
      <c r="C723" s="2" t="s">
        <v>2392</v>
      </c>
      <c r="D723" s="2" t="s">
        <v>2273</v>
      </c>
      <c r="E723" s="2" t="s">
        <v>13</v>
      </c>
      <c r="F723" s="2">
        <v>2019</v>
      </c>
      <c r="G723" s="3">
        <v>43495</v>
      </c>
      <c r="H723" s="2" t="s">
        <v>2274</v>
      </c>
      <c r="I723" s="2" t="s">
        <v>15</v>
      </c>
      <c r="J723" s="2" t="s">
        <v>2393</v>
      </c>
    </row>
    <row r="724" spans="1:10" x14ac:dyDescent="0.25">
      <c r="A724" s="2" t="s">
        <v>10</v>
      </c>
      <c r="B724" s="2" t="str">
        <f>"9781259643835"</f>
        <v>9781259643835</v>
      </c>
      <c r="C724" s="2" t="s">
        <v>2394</v>
      </c>
      <c r="D724" s="2" t="s">
        <v>2395</v>
      </c>
      <c r="E724" s="2" t="s">
        <v>13</v>
      </c>
      <c r="F724" s="2">
        <v>2017</v>
      </c>
      <c r="G724" s="3">
        <v>42877</v>
      </c>
      <c r="H724" s="2" t="s">
        <v>2048</v>
      </c>
      <c r="I724" s="2" t="s">
        <v>15</v>
      </c>
      <c r="J724" s="2" t="s">
        <v>2396</v>
      </c>
    </row>
    <row r="725" spans="1:10" x14ac:dyDescent="0.25">
      <c r="A725" s="2" t="s">
        <v>10</v>
      </c>
      <c r="B725" s="2" t="str">
        <f>"9781259588013"</f>
        <v>9781259588013</v>
      </c>
      <c r="C725" s="2" t="s">
        <v>2397</v>
      </c>
      <c r="D725" s="2" t="s">
        <v>2398</v>
      </c>
      <c r="E725" s="2" t="s">
        <v>13</v>
      </c>
      <c r="F725" s="2">
        <v>2016</v>
      </c>
      <c r="G725" s="3">
        <v>42642</v>
      </c>
      <c r="H725" s="2" t="s">
        <v>1556</v>
      </c>
      <c r="I725" s="2" t="s">
        <v>15</v>
      </c>
      <c r="J725" s="2" t="s">
        <v>2399</v>
      </c>
    </row>
    <row r="726" spans="1:10" x14ac:dyDescent="0.25">
      <c r="A726" s="2" t="s">
        <v>10</v>
      </c>
      <c r="B726" s="2" t="str">
        <f>"9781259836190"</f>
        <v>9781259836190</v>
      </c>
      <c r="C726" s="2" t="s">
        <v>2400</v>
      </c>
      <c r="D726" s="2" t="s">
        <v>2040</v>
      </c>
      <c r="E726" s="2" t="s">
        <v>13</v>
      </c>
      <c r="F726" s="2">
        <v>2018</v>
      </c>
      <c r="G726" s="3">
        <v>42787</v>
      </c>
      <c r="H726" s="2" t="s">
        <v>2401</v>
      </c>
      <c r="I726" s="2" t="s">
        <v>15</v>
      </c>
      <c r="J726" s="2" t="s">
        <v>2402</v>
      </c>
    </row>
    <row r="727" spans="1:10" x14ac:dyDescent="0.25">
      <c r="A727" s="2" t="s">
        <v>10</v>
      </c>
      <c r="B727" s="2" t="str">
        <f>"9781259642586"</f>
        <v>9781259642586</v>
      </c>
      <c r="C727" s="2" t="s">
        <v>2403</v>
      </c>
      <c r="D727" s="2" t="s">
        <v>1547</v>
      </c>
      <c r="E727" s="2" t="s">
        <v>13</v>
      </c>
      <c r="F727" s="2">
        <v>2018</v>
      </c>
      <c r="G727" s="3">
        <v>43221</v>
      </c>
      <c r="H727" s="2" t="s">
        <v>515</v>
      </c>
      <c r="I727" s="2" t="s">
        <v>15</v>
      </c>
      <c r="J727" s="2" t="s">
        <v>2404</v>
      </c>
    </row>
    <row r="728" spans="1:10" x14ac:dyDescent="0.25">
      <c r="A728" s="2" t="s">
        <v>10</v>
      </c>
      <c r="B728" s="2" t="str">
        <f>"9781259588976"</f>
        <v>9781259588976</v>
      </c>
      <c r="C728" s="2" t="s">
        <v>2405</v>
      </c>
      <c r="D728" s="2" t="s">
        <v>1837</v>
      </c>
      <c r="E728" s="2" t="s">
        <v>13</v>
      </c>
      <c r="F728" s="2">
        <v>2016</v>
      </c>
      <c r="G728" s="3">
        <v>42819</v>
      </c>
      <c r="H728" s="2" t="s">
        <v>281</v>
      </c>
      <c r="I728" s="2" t="s">
        <v>15</v>
      </c>
      <c r="J728" s="2" t="s">
        <v>2406</v>
      </c>
    </row>
    <row r="729" spans="1:10" x14ac:dyDescent="0.25">
      <c r="A729" s="2" t="s">
        <v>10</v>
      </c>
      <c r="B729" s="2" t="str">
        <f>"9781259642838"</f>
        <v>9781259642838</v>
      </c>
      <c r="C729" s="2" t="s">
        <v>2407</v>
      </c>
      <c r="D729" s="2" t="s">
        <v>2408</v>
      </c>
      <c r="E729" s="2" t="s">
        <v>13</v>
      </c>
      <c r="F729" s="2">
        <v>2016</v>
      </c>
      <c r="G729" s="3">
        <v>42670</v>
      </c>
      <c r="H729" s="2" t="s">
        <v>2409</v>
      </c>
      <c r="I729" s="2" t="s">
        <v>15</v>
      </c>
      <c r="J729" s="2" t="s">
        <v>2410</v>
      </c>
    </row>
    <row r="730" spans="1:10" x14ac:dyDescent="0.25">
      <c r="A730" s="2" t="s">
        <v>10</v>
      </c>
      <c r="B730" s="2" t="str">
        <f>"9781259642029"</f>
        <v>9781259642029</v>
      </c>
      <c r="C730" s="2" t="s">
        <v>2411</v>
      </c>
      <c r="D730" s="2" t="s">
        <v>2412</v>
      </c>
      <c r="E730" s="2" t="s">
        <v>13</v>
      </c>
      <c r="F730" s="2">
        <v>2018</v>
      </c>
      <c r="G730" s="3">
        <v>43300</v>
      </c>
      <c r="H730" s="2" t="s">
        <v>2413</v>
      </c>
      <c r="I730" s="2" t="s">
        <v>15</v>
      </c>
      <c r="J730" s="2" t="s">
        <v>2414</v>
      </c>
    </row>
    <row r="731" spans="1:10" x14ac:dyDescent="0.25">
      <c r="A731" s="2" t="s">
        <v>10</v>
      </c>
      <c r="B731" s="2" t="str">
        <f>"9781259588334"</f>
        <v>9781259588334</v>
      </c>
      <c r="C731" s="2" t="s">
        <v>2415</v>
      </c>
      <c r="D731" s="2" t="s">
        <v>1877</v>
      </c>
      <c r="E731" s="2" t="s">
        <v>13</v>
      </c>
      <c r="F731" s="2">
        <v>2016</v>
      </c>
      <c r="G731" s="3">
        <v>42361</v>
      </c>
      <c r="H731" s="2" t="s">
        <v>1384</v>
      </c>
      <c r="I731" s="2" t="s">
        <v>15</v>
      </c>
      <c r="J731" s="2" t="s">
        <v>2416</v>
      </c>
    </row>
    <row r="732" spans="1:10" x14ac:dyDescent="0.25">
      <c r="A732" s="2" t="s">
        <v>10</v>
      </c>
      <c r="B732" s="2" t="str">
        <f>"9781259644252"</f>
        <v>9781259644252</v>
      </c>
      <c r="C732" s="2" t="s">
        <v>2417</v>
      </c>
      <c r="D732" s="2" t="s">
        <v>2418</v>
      </c>
      <c r="E732" s="2" t="s">
        <v>13</v>
      </c>
      <c r="F732" s="2">
        <v>2017</v>
      </c>
      <c r="G732" s="3">
        <v>42712</v>
      </c>
      <c r="H732" s="2" t="s">
        <v>1384</v>
      </c>
      <c r="I732" s="2" t="s">
        <v>15</v>
      </c>
      <c r="J732" s="2" t="s">
        <v>2419</v>
      </c>
    </row>
    <row r="733" spans="1:10" x14ac:dyDescent="0.25">
      <c r="A733" s="2" t="s">
        <v>10</v>
      </c>
      <c r="B733" s="2" t="str">
        <f>"9781259859175"</f>
        <v>9781259859175</v>
      </c>
      <c r="C733" s="2" t="s">
        <v>2420</v>
      </c>
      <c r="D733" s="2" t="s">
        <v>2421</v>
      </c>
      <c r="E733" s="2" t="s">
        <v>13</v>
      </c>
      <c r="F733" s="2">
        <v>2017</v>
      </c>
      <c r="G733" s="3">
        <v>42819</v>
      </c>
      <c r="H733" s="2" t="s">
        <v>2027</v>
      </c>
      <c r="I733" s="2" t="s">
        <v>15</v>
      </c>
      <c r="J733" s="2" t="s">
        <v>2422</v>
      </c>
    </row>
    <row r="734" spans="1:10" x14ac:dyDescent="0.25">
      <c r="A734" s="2" t="s">
        <v>10</v>
      </c>
      <c r="B734" s="2" t="str">
        <f>"9781259589782"</f>
        <v>9781259589782</v>
      </c>
      <c r="C734" s="2" t="s">
        <v>2423</v>
      </c>
      <c r="D734" s="2" t="s">
        <v>2424</v>
      </c>
      <c r="E734" s="2" t="s">
        <v>13</v>
      </c>
      <c r="F734" s="2">
        <v>2016</v>
      </c>
      <c r="G734" s="3">
        <v>42612</v>
      </c>
      <c r="H734" s="2" t="s">
        <v>271</v>
      </c>
      <c r="I734" s="2" t="s">
        <v>15</v>
      </c>
      <c r="J734" s="2" t="s">
        <v>2425</v>
      </c>
    </row>
    <row r="735" spans="1:10" x14ac:dyDescent="0.25">
      <c r="A735" s="2" t="s">
        <v>10</v>
      </c>
      <c r="B735" s="2" t="str">
        <f>"9781259859700"</f>
        <v>9781259859700</v>
      </c>
      <c r="C735" s="2" t="s">
        <v>2426</v>
      </c>
      <c r="D735" s="2" t="s">
        <v>98</v>
      </c>
      <c r="E735" s="2" t="s">
        <v>13</v>
      </c>
      <c r="F735" s="2">
        <v>2018</v>
      </c>
      <c r="G735" s="3">
        <v>42753</v>
      </c>
      <c r="H735" s="2" t="s">
        <v>2427</v>
      </c>
      <c r="I735" s="2" t="s">
        <v>15</v>
      </c>
      <c r="J735" s="2" t="s">
        <v>2428</v>
      </c>
    </row>
    <row r="736" spans="1:10" x14ac:dyDescent="0.25">
      <c r="A736" s="2" t="s">
        <v>10</v>
      </c>
      <c r="B736" s="2" t="str">
        <f>"9781259860973"</f>
        <v>9781259860973</v>
      </c>
      <c r="C736" s="2" t="s">
        <v>2429</v>
      </c>
      <c r="D736" s="2" t="s">
        <v>2430</v>
      </c>
      <c r="E736" s="2" t="s">
        <v>13</v>
      </c>
      <c r="F736" s="2">
        <v>2018</v>
      </c>
      <c r="G736" s="3">
        <v>42821</v>
      </c>
      <c r="H736" s="2" t="s">
        <v>2431</v>
      </c>
      <c r="I736" s="2" t="s">
        <v>15</v>
      </c>
      <c r="J736" s="2" t="s">
        <v>2432</v>
      </c>
    </row>
    <row r="737" spans="1:10" x14ac:dyDescent="0.25">
      <c r="A737" s="2" t="s">
        <v>10</v>
      </c>
      <c r="B737" s="2" t="str">
        <f>"9781259860461"</f>
        <v>9781259860461</v>
      </c>
      <c r="C737" s="2" t="s">
        <v>2433</v>
      </c>
      <c r="D737" s="2" t="s">
        <v>2418</v>
      </c>
      <c r="E737" s="2" t="s">
        <v>13</v>
      </c>
      <c r="F737" s="2">
        <v>2017</v>
      </c>
      <c r="G737" s="3">
        <v>42999</v>
      </c>
      <c r="H737" s="2" t="s">
        <v>1384</v>
      </c>
      <c r="I737" s="2" t="s">
        <v>15</v>
      </c>
      <c r="J737" s="2" t="s">
        <v>2434</v>
      </c>
    </row>
    <row r="738" spans="1:10" x14ac:dyDescent="0.25">
      <c r="A738" s="2" t="s">
        <v>10</v>
      </c>
      <c r="B738" s="2" t="str">
        <f>"9781260011463"</f>
        <v>9781260011463</v>
      </c>
      <c r="C738" s="2" t="s">
        <v>2435</v>
      </c>
      <c r="D738" s="2" t="s">
        <v>2436</v>
      </c>
      <c r="E738" s="2" t="s">
        <v>13</v>
      </c>
      <c r="F738" s="2">
        <v>2018</v>
      </c>
      <c r="G738" s="3">
        <v>43886</v>
      </c>
      <c r="H738" s="2" t="s">
        <v>1881</v>
      </c>
      <c r="I738" s="2" t="s">
        <v>15</v>
      </c>
      <c r="J738" s="2" t="s">
        <v>2437</v>
      </c>
    </row>
    <row r="739" spans="1:10" x14ac:dyDescent="0.25">
      <c r="A739" s="2" t="s">
        <v>10</v>
      </c>
      <c r="B739" s="2" t="str">
        <f>"9781259861550"</f>
        <v>9781259861550</v>
      </c>
      <c r="C739" s="2" t="s">
        <v>2438</v>
      </c>
      <c r="D739" s="2" t="s">
        <v>2439</v>
      </c>
      <c r="E739" s="2" t="s">
        <v>13</v>
      </c>
      <c r="F739" s="2">
        <v>2019</v>
      </c>
      <c r="G739" s="3">
        <v>43762</v>
      </c>
      <c r="H739" s="2" t="s">
        <v>396</v>
      </c>
      <c r="I739" s="2" t="s">
        <v>15</v>
      </c>
      <c r="J739" s="2" t="s">
        <v>2440</v>
      </c>
    </row>
    <row r="740" spans="1:10" x14ac:dyDescent="0.25">
      <c r="A740" s="2" t="s">
        <v>10</v>
      </c>
      <c r="B740" s="2" t="str">
        <f>"9781260019193"</f>
        <v>9781260019193</v>
      </c>
      <c r="C740" s="2" t="s">
        <v>2441</v>
      </c>
      <c r="D740" s="2" t="s">
        <v>1383</v>
      </c>
      <c r="E740" s="2" t="s">
        <v>13</v>
      </c>
      <c r="F740" s="2">
        <v>2017</v>
      </c>
      <c r="G740" s="3">
        <v>42999</v>
      </c>
      <c r="H740" s="2" t="s">
        <v>1384</v>
      </c>
      <c r="I740" s="2" t="s">
        <v>15</v>
      </c>
      <c r="J740" s="2" t="s">
        <v>2442</v>
      </c>
    </row>
    <row r="741" spans="1:10" x14ac:dyDescent="0.25">
      <c r="A741" s="2" t="s">
        <v>10</v>
      </c>
      <c r="B741" s="2" t="str">
        <f>"9781259861833"</f>
        <v>9781259861833</v>
      </c>
      <c r="C741" s="2" t="s">
        <v>2443</v>
      </c>
      <c r="D741" s="2" t="s">
        <v>2444</v>
      </c>
      <c r="E741" s="2" t="s">
        <v>13</v>
      </c>
      <c r="F741" s="2">
        <v>2017</v>
      </c>
      <c r="G741" s="3">
        <v>42788</v>
      </c>
      <c r="H741" s="2" t="s">
        <v>1924</v>
      </c>
      <c r="I741" s="2" t="s">
        <v>15</v>
      </c>
      <c r="J741" s="2" t="s">
        <v>2445</v>
      </c>
    </row>
    <row r="742" spans="1:10" x14ac:dyDescent="0.25">
      <c r="A742" s="2" t="s">
        <v>10</v>
      </c>
      <c r="B742" s="2" t="str">
        <f>"9781260010534"</f>
        <v>9781260010534</v>
      </c>
      <c r="C742" s="2" t="s">
        <v>2446</v>
      </c>
      <c r="D742" s="2" t="s">
        <v>1661</v>
      </c>
      <c r="E742" s="2" t="s">
        <v>13</v>
      </c>
      <c r="F742" s="2">
        <v>2018</v>
      </c>
      <c r="G742" s="3">
        <v>43888</v>
      </c>
      <c r="H742" s="2" t="s">
        <v>2447</v>
      </c>
      <c r="I742" s="2" t="s">
        <v>15</v>
      </c>
      <c r="J742" s="2" t="s">
        <v>2448</v>
      </c>
    </row>
    <row r="743" spans="1:10" x14ac:dyDescent="0.25">
      <c r="A743" s="2" t="s">
        <v>10</v>
      </c>
      <c r="B743" s="2" t="str">
        <f>"9781260010572"</f>
        <v>9781260010572</v>
      </c>
      <c r="C743" s="2" t="s">
        <v>2449</v>
      </c>
      <c r="D743" s="2" t="s">
        <v>2450</v>
      </c>
      <c r="E743" s="2" t="s">
        <v>13</v>
      </c>
      <c r="F743" s="2">
        <v>2018</v>
      </c>
      <c r="G743" s="3">
        <v>43523</v>
      </c>
      <c r="H743" s="2" t="s">
        <v>2451</v>
      </c>
      <c r="I743" s="2" t="s">
        <v>15</v>
      </c>
      <c r="J743" s="2" t="s">
        <v>2452</v>
      </c>
    </row>
    <row r="744" spans="1:10" x14ac:dyDescent="0.25">
      <c r="A744" s="2" t="s">
        <v>10</v>
      </c>
      <c r="B744" s="2" t="str">
        <f>"9781259860423"</f>
        <v>9781259860423</v>
      </c>
      <c r="C744" s="2" t="s">
        <v>2453</v>
      </c>
      <c r="D744" s="2" t="s">
        <v>2454</v>
      </c>
      <c r="E744" s="2" t="s">
        <v>13</v>
      </c>
      <c r="F744" s="2">
        <v>2017</v>
      </c>
      <c r="G744" s="3">
        <v>43300</v>
      </c>
      <c r="H744" s="2" t="s">
        <v>2455</v>
      </c>
      <c r="I744" s="2" t="s">
        <v>15</v>
      </c>
      <c r="J744" s="2" t="s">
        <v>2456</v>
      </c>
    </row>
    <row r="745" spans="1:10" x14ac:dyDescent="0.25">
      <c r="A745" s="2" t="s">
        <v>10</v>
      </c>
      <c r="B745" s="2" t="str">
        <f>"9781259861901"</f>
        <v>9781259861901</v>
      </c>
      <c r="C745" s="2" t="s">
        <v>2457</v>
      </c>
      <c r="D745" s="2" t="s">
        <v>2458</v>
      </c>
      <c r="E745" s="2" t="s">
        <v>13</v>
      </c>
      <c r="F745" s="2">
        <v>2019</v>
      </c>
      <c r="G745" s="3">
        <v>43455</v>
      </c>
      <c r="H745" s="2" t="s">
        <v>2459</v>
      </c>
      <c r="I745" s="2" t="s">
        <v>15</v>
      </c>
      <c r="J745" s="2" t="s">
        <v>2460</v>
      </c>
    </row>
    <row r="746" spans="1:10" x14ac:dyDescent="0.25">
      <c r="A746" s="2" t="s">
        <v>10</v>
      </c>
      <c r="B746" s="2" t="str">
        <f>"9781259860805"</f>
        <v>9781259860805</v>
      </c>
      <c r="C746" s="2" t="s">
        <v>2461</v>
      </c>
      <c r="D746" s="2" t="s">
        <v>2462</v>
      </c>
      <c r="E746" s="2" t="s">
        <v>13</v>
      </c>
      <c r="F746" s="2">
        <v>2019</v>
      </c>
      <c r="G746" s="3">
        <v>43398</v>
      </c>
      <c r="H746" s="2" t="s">
        <v>1718</v>
      </c>
      <c r="I746" s="2" t="s">
        <v>15</v>
      </c>
      <c r="J746" s="2" t="s">
        <v>2463</v>
      </c>
    </row>
    <row r="747" spans="1:10" x14ac:dyDescent="0.25">
      <c r="A747" s="2" t="s">
        <v>10</v>
      </c>
      <c r="B747" s="2" t="str">
        <f>"9781260031317"</f>
        <v>9781260031317</v>
      </c>
      <c r="C747" s="2" t="s">
        <v>2464</v>
      </c>
      <c r="D747" s="2" t="s">
        <v>1877</v>
      </c>
      <c r="E747" s="2" t="s">
        <v>13</v>
      </c>
      <c r="F747" s="2">
        <v>2018</v>
      </c>
      <c r="G747" s="3">
        <v>43277</v>
      </c>
      <c r="H747" s="2" t="s">
        <v>1384</v>
      </c>
      <c r="I747" s="2" t="s">
        <v>15</v>
      </c>
      <c r="J747" s="2" t="s">
        <v>2465</v>
      </c>
    </row>
    <row r="748" spans="1:10" x14ac:dyDescent="0.25">
      <c r="A748" s="2" t="s">
        <v>10</v>
      </c>
      <c r="B748" s="2" t="str">
        <f>"9781260011968"</f>
        <v>9781260011968</v>
      </c>
      <c r="C748" s="2" t="s">
        <v>2466</v>
      </c>
      <c r="D748" s="2" t="s">
        <v>2467</v>
      </c>
      <c r="E748" s="2" t="s">
        <v>13</v>
      </c>
      <c r="F748" s="2">
        <v>2018</v>
      </c>
      <c r="G748" s="3">
        <v>43370</v>
      </c>
      <c r="H748" s="2" t="s">
        <v>2468</v>
      </c>
      <c r="I748" s="2" t="s">
        <v>15</v>
      </c>
      <c r="J748" s="2" t="s">
        <v>2469</v>
      </c>
    </row>
    <row r="749" spans="1:10" x14ac:dyDescent="0.25">
      <c r="A749" s="2" t="s">
        <v>10</v>
      </c>
      <c r="B749" s="2" t="str">
        <f>"9781260031188"</f>
        <v>9781260031188</v>
      </c>
      <c r="C749" s="2" t="s">
        <v>2470</v>
      </c>
      <c r="D749" s="2" t="s">
        <v>2348</v>
      </c>
      <c r="E749" s="2" t="s">
        <v>13</v>
      </c>
      <c r="F749" s="2">
        <v>2018</v>
      </c>
      <c r="G749" s="3">
        <v>43132</v>
      </c>
      <c r="H749" s="2" t="s">
        <v>135</v>
      </c>
      <c r="I749" s="2" t="s">
        <v>15</v>
      </c>
      <c r="J749" s="2" t="s">
        <v>2471</v>
      </c>
    </row>
    <row r="750" spans="1:10" x14ac:dyDescent="0.25">
      <c r="A750" s="2" t="s">
        <v>10</v>
      </c>
      <c r="B750" s="2" t="str">
        <f>"9781260011449"</f>
        <v>9781260011449</v>
      </c>
      <c r="C750" s="2" t="s">
        <v>2472</v>
      </c>
      <c r="D750" s="2" t="s">
        <v>2473</v>
      </c>
      <c r="E750" s="2" t="s">
        <v>13</v>
      </c>
      <c r="F750" s="2">
        <v>2018</v>
      </c>
      <c r="G750" s="3">
        <v>43242</v>
      </c>
      <c r="H750" s="2" t="s">
        <v>2474</v>
      </c>
      <c r="I750" s="2" t="s">
        <v>15</v>
      </c>
      <c r="J750" s="2" t="s">
        <v>2475</v>
      </c>
    </row>
    <row r="751" spans="1:10" x14ac:dyDescent="0.25">
      <c r="A751" s="2" t="s">
        <v>10</v>
      </c>
      <c r="B751" s="2" t="str">
        <f>"9781260115925"</f>
        <v>9781260115925</v>
      </c>
      <c r="C751" s="2" t="s">
        <v>2476</v>
      </c>
      <c r="D751" s="2" t="s">
        <v>2477</v>
      </c>
      <c r="E751" s="2" t="s">
        <v>13</v>
      </c>
      <c r="F751" s="2">
        <v>2019</v>
      </c>
      <c r="G751" s="3">
        <v>43732</v>
      </c>
      <c r="H751" s="2" t="s">
        <v>60</v>
      </c>
      <c r="I751" s="2" t="s">
        <v>15</v>
      </c>
      <c r="J751" s="2" t="s">
        <v>2478</v>
      </c>
    </row>
    <row r="752" spans="1:10" x14ac:dyDescent="0.25">
      <c r="A752" s="2" t="s">
        <v>10</v>
      </c>
      <c r="B752" s="2" t="str">
        <f>"9781259859786"</f>
        <v>9781259859786</v>
      </c>
      <c r="C752" s="2" t="s">
        <v>2479</v>
      </c>
      <c r="D752" s="2" t="s">
        <v>2307</v>
      </c>
      <c r="E752" s="2" t="s">
        <v>13</v>
      </c>
      <c r="F752" s="2">
        <v>2017</v>
      </c>
      <c r="G752" s="3">
        <v>42977</v>
      </c>
      <c r="H752" s="2" t="s">
        <v>2480</v>
      </c>
      <c r="I752" s="2" t="s">
        <v>15</v>
      </c>
      <c r="J752" s="2" t="s">
        <v>2481</v>
      </c>
    </row>
    <row r="753" spans="1:10" x14ac:dyDescent="0.25">
      <c r="A753" s="2" t="s">
        <v>10</v>
      </c>
      <c r="B753" s="2" t="str">
        <f>"9781260011487"</f>
        <v>9781260011487</v>
      </c>
      <c r="C753" s="2" t="s">
        <v>2482</v>
      </c>
      <c r="D753" s="2" t="s">
        <v>2483</v>
      </c>
      <c r="E753" s="2" t="s">
        <v>13</v>
      </c>
      <c r="F753" s="2">
        <v>2018</v>
      </c>
      <c r="G753" s="3">
        <v>43497</v>
      </c>
      <c r="H753" s="2" t="s">
        <v>2484</v>
      </c>
      <c r="I753" s="2" t="s">
        <v>15</v>
      </c>
      <c r="J753" s="2" t="s">
        <v>2485</v>
      </c>
    </row>
    <row r="754" spans="1:10" x14ac:dyDescent="0.25">
      <c r="A754" s="2" t="s">
        <v>10</v>
      </c>
      <c r="B754" s="2" t="str">
        <f>"9781260011647"</f>
        <v>9781260011647</v>
      </c>
      <c r="C754" s="2" t="s">
        <v>2486</v>
      </c>
      <c r="D754" s="2" t="s">
        <v>2487</v>
      </c>
      <c r="E754" s="2" t="s">
        <v>13</v>
      </c>
      <c r="F754" s="2">
        <v>2019</v>
      </c>
      <c r="G754" s="3">
        <v>43552</v>
      </c>
      <c r="H754" s="2" t="s">
        <v>2488</v>
      </c>
      <c r="I754" s="2" t="s">
        <v>15</v>
      </c>
      <c r="J754" s="2" t="s">
        <v>2489</v>
      </c>
    </row>
    <row r="755" spans="1:10" x14ac:dyDescent="0.25">
      <c r="A755" s="2" t="s">
        <v>10</v>
      </c>
      <c r="B755" s="2" t="str">
        <f>"9781260019575"</f>
        <v>9781260019575</v>
      </c>
      <c r="C755" s="2" t="s">
        <v>2490</v>
      </c>
      <c r="D755" s="2" t="s">
        <v>2491</v>
      </c>
      <c r="E755" s="2" t="s">
        <v>13</v>
      </c>
      <c r="F755" s="2">
        <v>2019</v>
      </c>
      <c r="G755" s="3">
        <v>43584</v>
      </c>
      <c r="H755" s="2" t="s">
        <v>2492</v>
      </c>
      <c r="I755" s="2" t="s">
        <v>15</v>
      </c>
      <c r="J755" s="2" t="s">
        <v>2493</v>
      </c>
    </row>
    <row r="756" spans="1:10" x14ac:dyDescent="0.25">
      <c r="A756" s="2" t="s">
        <v>10</v>
      </c>
      <c r="B756" s="2" t="str">
        <f>"9781259859687"</f>
        <v>9781259859687</v>
      </c>
      <c r="C756" s="2" t="s">
        <v>2494</v>
      </c>
      <c r="D756" s="2" t="s">
        <v>2495</v>
      </c>
      <c r="E756" s="2" t="s">
        <v>13</v>
      </c>
      <c r="F756" s="2">
        <v>2018</v>
      </c>
      <c r="G756" s="3">
        <v>43061</v>
      </c>
      <c r="H756" s="2" t="s">
        <v>115</v>
      </c>
      <c r="I756" s="2" t="s">
        <v>15</v>
      </c>
      <c r="J756" s="2" t="s">
        <v>2496</v>
      </c>
    </row>
    <row r="757" spans="1:10" x14ac:dyDescent="0.25">
      <c r="A757" s="2" t="s">
        <v>10</v>
      </c>
      <c r="B757" s="2" t="str">
        <f>"9781260031102"</f>
        <v>9781260031102</v>
      </c>
      <c r="C757" s="2" t="s">
        <v>2497</v>
      </c>
      <c r="D757" s="2" t="s">
        <v>1470</v>
      </c>
      <c r="E757" s="2" t="s">
        <v>13</v>
      </c>
      <c r="F757" s="2">
        <v>2018</v>
      </c>
      <c r="G757" s="3">
        <v>43398</v>
      </c>
      <c r="H757" s="2" t="s">
        <v>857</v>
      </c>
      <c r="I757" s="2" t="s">
        <v>15</v>
      </c>
      <c r="J757" s="2" t="s">
        <v>2498</v>
      </c>
    </row>
    <row r="758" spans="1:10" x14ac:dyDescent="0.25">
      <c r="A758" s="2" t="s">
        <v>10</v>
      </c>
      <c r="B758" s="2" t="str">
        <f>"9781260108217"</f>
        <v>9781260108217</v>
      </c>
      <c r="C758" s="2" t="s">
        <v>2499</v>
      </c>
      <c r="D758" s="2" t="s">
        <v>1864</v>
      </c>
      <c r="E758" s="2" t="s">
        <v>13</v>
      </c>
      <c r="F758" s="2">
        <v>2019</v>
      </c>
      <c r="G758" s="3">
        <v>43584</v>
      </c>
      <c r="H758" s="2" t="s">
        <v>60</v>
      </c>
      <c r="I758" s="2" t="s">
        <v>15</v>
      </c>
      <c r="J758" s="2" t="s">
        <v>2500</v>
      </c>
    </row>
    <row r="759" spans="1:10" x14ac:dyDescent="0.25">
      <c r="A759" s="2" t="s">
        <v>10</v>
      </c>
      <c r="B759" s="2" t="str">
        <f>"9781259860386"</f>
        <v>9781259860386</v>
      </c>
      <c r="C759" s="2" t="s">
        <v>2501</v>
      </c>
      <c r="D759" s="2" t="s">
        <v>1923</v>
      </c>
      <c r="E759" s="2" t="s">
        <v>13</v>
      </c>
      <c r="F759" s="2">
        <v>2017</v>
      </c>
      <c r="G759" s="3">
        <v>43031</v>
      </c>
      <c r="H759" s="2" t="s">
        <v>1924</v>
      </c>
      <c r="I759" s="2" t="s">
        <v>15</v>
      </c>
      <c r="J759" s="2" t="s">
        <v>2502</v>
      </c>
    </row>
    <row r="760" spans="1:10" x14ac:dyDescent="0.25">
      <c r="A760" s="2" t="s">
        <v>10</v>
      </c>
      <c r="B760" s="2" t="str">
        <f>"9781260011340"</f>
        <v>9781260011340</v>
      </c>
      <c r="C760" s="2" t="s">
        <v>2503</v>
      </c>
      <c r="D760" s="2" t="s">
        <v>2051</v>
      </c>
      <c r="E760" s="2" t="s">
        <v>13</v>
      </c>
      <c r="F760" s="2">
        <v>2018</v>
      </c>
      <c r="G760" s="3">
        <v>43277</v>
      </c>
      <c r="H760" s="2" t="s">
        <v>485</v>
      </c>
      <c r="I760" s="2" t="s">
        <v>15</v>
      </c>
      <c r="J760" s="2" t="s">
        <v>2504</v>
      </c>
    </row>
    <row r="761" spans="1:10" x14ac:dyDescent="0.25">
      <c r="A761" s="2" t="s">
        <v>10</v>
      </c>
      <c r="B761" s="2" t="str">
        <f>"9781260108385"</f>
        <v>9781260108385</v>
      </c>
      <c r="C761" s="2" t="s">
        <v>2505</v>
      </c>
      <c r="D761" s="2" t="s">
        <v>1446</v>
      </c>
      <c r="E761" s="2" t="s">
        <v>13</v>
      </c>
      <c r="F761" s="2">
        <v>2018</v>
      </c>
      <c r="G761" s="3">
        <v>43328</v>
      </c>
      <c r="H761" s="2" t="s">
        <v>2506</v>
      </c>
      <c r="I761" s="2" t="s">
        <v>15</v>
      </c>
      <c r="J761" s="2" t="s">
        <v>2507</v>
      </c>
    </row>
    <row r="762" spans="1:10" x14ac:dyDescent="0.25">
      <c r="A762" s="2" t="s">
        <v>10</v>
      </c>
      <c r="B762" s="2" t="str">
        <f>"9781259862618"</f>
        <v>9781259862618</v>
      </c>
      <c r="C762" s="2" t="s">
        <v>2508</v>
      </c>
      <c r="D762" s="2" t="s">
        <v>2509</v>
      </c>
      <c r="E762" s="2" t="s">
        <v>13</v>
      </c>
      <c r="F762" s="2">
        <v>2020</v>
      </c>
      <c r="G762" s="3">
        <v>43914</v>
      </c>
      <c r="H762" s="2" t="s">
        <v>1744</v>
      </c>
      <c r="I762" s="2" t="s">
        <v>15</v>
      </c>
      <c r="J762" s="2" t="s">
        <v>2510</v>
      </c>
    </row>
    <row r="763" spans="1:10" x14ac:dyDescent="0.25">
      <c r="A763" s="2" t="s">
        <v>10</v>
      </c>
      <c r="B763" s="2" t="str">
        <f>"9781260108804"</f>
        <v>9781260108804</v>
      </c>
      <c r="C763" s="2" t="s">
        <v>2511</v>
      </c>
      <c r="D763" s="2" t="s">
        <v>2512</v>
      </c>
      <c r="E763" s="2" t="s">
        <v>13</v>
      </c>
      <c r="F763" s="2">
        <v>2018</v>
      </c>
      <c r="G763" s="3">
        <v>43221</v>
      </c>
      <c r="H763" s="2" t="s">
        <v>2308</v>
      </c>
      <c r="I763" s="2" t="s">
        <v>15</v>
      </c>
      <c r="J763" s="2" t="s">
        <v>2513</v>
      </c>
    </row>
    <row r="764" spans="1:10" x14ac:dyDescent="0.25">
      <c r="A764" s="2" t="s">
        <v>10</v>
      </c>
      <c r="B764" s="2" t="str">
        <f>"9781259860225"</f>
        <v>9781259860225</v>
      </c>
      <c r="C764" s="2" t="s">
        <v>2514</v>
      </c>
      <c r="D764" s="2" t="s">
        <v>2515</v>
      </c>
      <c r="E764" s="2" t="s">
        <v>13</v>
      </c>
      <c r="F764" s="2">
        <v>2018</v>
      </c>
      <c r="G764" s="3">
        <v>43334</v>
      </c>
      <c r="H764" s="2" t="s">
        <v>56</v>
      </c>
      <c r="I764" s="2" t="s">
        <v>15</v>
      </c>
      <c r="J764" s="2" t="s">
        <v>2516</v>
      </c>
    </row>
    <row r="765" spans="1:10" x14ac:dyDescent="0.25">
      <c r="A765" s="2" t="s">
        <v>10</v>
      </c>
      <c r="B765" s="2" t="str">
        <f>"9781260115987"</f>
        <v>9781260115987</v>
      </c>
      <c r="C765" s="2" t="s">
        <v>2517</v>
      </c>
      <c r="D765" s="2" t="s">
        <v>2518</v>
      </c>
      <c r="E765" s="2" t="s">
        <v>13</v>
      </c>
      <c r="F765" s="2">
        <v>2020</v>
      </c>
      <c r="G765" s="3">
        <v>44042</v>
      </c>
      <c r="H765" s="2" t="s">
        <v>1718</v>
      </c>
      <c r="I765" s="2" t="s">
        <v>15</v>
      </c>
      <c r="J765" s="2" t="s">
        <v>2519</v>
      </c>
    </row>
    <row r="766" spans="1:10" x14ac:dyDescent="0.25">
      <c r="A766" s="2" t="s">
        <v>10</v>
      </c>
      <c r="B766" s="2" t="str">
        <f>"9781260116007"</f>
        <v>9781260116007</v>
      </c>
      <c r="C766" s="2" t="s">
        <v>2520</v>
      </c>
      <c r="D766" s="2" t="s">
        <v>2521</v>
      </c>
      <c r="E766" s="2" t="s">
        <v>13</v>
      </c>
      <c r="F766" s="2">
        <v>2018</v>
      </c>
      <c r="G766" s="3">
        <v>43221</v>
      </c>
      <c r="H766" s="2" t="s">
        <v>2522</v>
      </c>
      <c r="I766" s="2" t="s">
        <v>15</v>
      </c>
      <c r="J766" s="2" t="s">
        <v>2523</v>
      </c>
    </row>
    <row r="767" spans="1:10" x14ac:dyDescent="0.25">
      <c r="A767" s="2" t="s">
        <v>10</v>
      </c>
      <c r="B767" s="2" t="str">
        <f>"9781260026030"</f>
        <v>9781260026030</v>
      </c>
      <c r="C767" s="2" t="s">
        <v>2524</v>
      </c>
      <c r="D767" s="2" t="s">
        <v>2525</v>
      </c>
      <c r="E767" s="2" t="s">
        <v>13</v>
      </c>
      <c r="F767" s="2">
        <v>2020</v>
      </c>
      <c r="G767" s="3">
        <v>43938</v>
      </c>
      <c r="H767" s="2" t="s">
        <v>1513</v>
      </c>
      <c r="I767" s="2" t="s">
        <v>15</v>
      </c>
      <c r="J767" s="2" t="s">
        <v>2526</v>
      </c>
    </row>
    <row r="768" spans="1:10" x14ac:dyDescent="0.25">
      <c r="A768" s="2" t="s">
        <v>10</v>
      </c>
      <c r="B768" s="2" t="str">
        <f>"9781259861468"</f>
        <v>9781259861468</v>
      </c>
      <c r="C768" s="2" t="s">
        <v>2527</v>
      </c>
      <c r="D768" s="2" t="s">
        <v>2528</v>
      </c>
      <c r="E768" s="2" t="s">
        <v>13</v>
      </c>
      <c r="F768" s="2">
        <v>2017</v>
      </c>
      <c r="G768" s="3">
        <v>42788</v>
      </c>
      <c r="H768" s="2" t="s">
        <v>1384</v>
      </c>
      <c r="I768" s="2" t="s">
        <v>15</v>
      </c>
      <c r="J768" s="2" t="s">
        <v>2529</v>
      </c>
    </row>
    <row r="769" spans="1:10" x14ac:dyDescent="0.25">
      <c r="A769" s="2" t="s">
        <v>10</v>
      </c>
      <c r="B769" s="2" t="str">
        <f>"9781260012200"</f>
        <v>9781260012200</v>
      </c>
      <c r="C769" s="2" t="s">
        <v>2530</v>
      </c>
      <c r="D769" s="2" t="s">
        <v>1383</v>
      </c>
      <c r="E769" s="2" t="s">
        <v>13</v>
      </c>
      <c r="F769" s="2">
        <v>2017</v>
      </c>
      <c r="G769" s="3">
        <v>43031</v>
      </c>
      <c r="H769" s="2" t="s">
        <v>2531</v>
      </c>
      <c r="I769" s="2" t="s">
        <v>15</v>
      </c>
      <c r="J769" s="2" t="s">
        <v>2532</v>
      </c>
    </row>
    <row r="770" spans="1:10" x14ac:dyDescent="0.25">
      <c r="A770" s="2" t="s">
        <v>10</v>
      </c>
      <c r="B770" s="2" t="str">
        <f>"9781260010893"</f>
        <v>9781260010893</v>
      </c>
      <c r="C770" s="2" t="s">
        <v>2533</v>
      </c>
      <c r="D770" s="2" t="s">
        <v>2534</v>
      </c>
      <c r="E770" s="2" t="s">
        <v>13</v>
      </c>
      <c r="F770" s="2">
        <v>2018</v>
      </c>
      <c r="G770" s="3">
        <v>42787</v>
      </c>
      <c r="H770" s="2" t="s">
        <v>1384</v>
      </c>
      <c r="I770" s="2" t="s">
        <v>15</v>
      </c>
      <c r="J770" s="2" t="s">
        <v>2535</v>
      </c>
    </row>
    <row r="771" spans="1:10" x14ac:dyDescent="0.25">
      <c r="A771" s="2" t="s">
        <v>10</v>
      </c>
      <c r="B771" s="2" t="str">
        <f>"9781260132298"</f>
        <v>9781260132298</v>
      </c>
      <c r="C771" s="2" t="s">
        <v>2536</v>
      </c>
      <c r="D771" s="2" t="s">
        <v>1761</v>
      </c>
      <c r="E771" s="2" t="s">
        <v>13</v>
      </c>
      <c r="F771" s="2">
        <v>2018</v>
      </c>
      <c r="G771" s="3">
        <v>43370</v>
      </c>
      <c r="H771" s="2" t="s">
        <v>1762</v>
      </c>
      <c r="I771" s="2" t="s">
        <v>15</v>
      </c>
      <c r="J771" s="2" t="s">
        <v>2537</v>
      </c>
    </row>
    <row r="772" spans="1:10" x14ac:dyDescent="0.25">
      <c r="A772" s="2" t="s">
        <v>10</v>
      </c>
      <c r="B772" s="2" t="str">
        <f>"9781260132274"</f>
        <v>9781260132274</v>
      </c>
      <c r="C772" s="2" t="s">
        <v>2538</v>
      </c>
      <c r="D772" s="2" t="s">
        <v>2539</v>
      </c>
      <c r="E772" s="2" t="s">
        <v>13</v>
      </c>
      <c r="F772" s="2">
        <v>2020</v>
      </c>
      <c r="G772" s="3">
        <v>43797</v>
      </c>
      <c r="H772" s="2" t="s">
        <v>2540</v>
      </c>
      <c r="I772" s="2" t="s">
        <v>15</v>
      </c>
      <c r="J772" s="2" t="s">
        <v>2541</v>
      </c>
    </row>
    <row r="773" spans="1:10" x14ac:dyDescent="0.25">
      <c r="A773" s="2" t="s">
        <v>10</v>
      </c>
      <c r="B773" s="2" t="str">
        <f>"9781260118025"</f>
        <v>9781260118025</v>
      </c>
      <c r="C773" s="2" t="s">
        <v>2542</v>
      </c>
      <c r="D773" s="2" t="s">
        <v>2543</v>
      </c>
      <c r="E773" s="2" t="s">
        <v>13</v>
      </c>
      <c r="F773" s="2">
        <v>2018</v>
      </c>
      <c r="G773" s="3">
        <v>43334</v>
      </c>
      <c r="H773" s="2" t="s">
        <v>2544</v>
      </c>
      <c r="I773" s="2" t="s">
        <v>15</v>
      </c>
      <c r="J773" s="2" t="s">
        <v>2545</v>
      </c>
    </row>
    <row r="774" spans="1:10" x14ac:dyDescent="0.25">
      <c r="A774" s="2" t="s">
        <v>10</v>
      </c>
      <c r="B774" s="2" t="str">
        <f>"9781260117998"</f>
        <v>9781260117998</v>
      </c>
      <c r="C774" s="2" t="s">
        <v>2546</v>
      </c>
      <c r="D774" s="2" t="s">
        <v>2518</v>
      </c>
      <c r="E774" s="2" t="s">
        <v>13</v>
      </c>
      <c r="F774" s="2">
        <v>2020</v>
      </c>
      <c r="G774" s="3">
        <v>44034</v>
      </c>
      <c r="H774" s="2" t="s">
        <v>2308</v>
      </c>
      <c r="I774" s="2" t="s">
        <v>15</v>
      </c>
      <c r="J774" s="2" t="s">
        <v>2547</v>
      </c>
    </row>
    <row r="775" spans="1:10" x14ac:dyDescent="0.25">
      <c r="A775" s="2" t="s">
        <v>10</v>
      </c>
      <c r="B775" s="2" t="str">
        <f>"9781260117974"</f>
        <v>9781260117974</v>
      </c>
      <c r="C775" s="2" t="s">
        <v>2548</v>
      </c>
      <c r="D775" s="2" t="s">
        <v>43</v>
      </c>
      <c r="E775" s="2" t="s">
        <v>13</v>
      </c>
      <c r="F775" s="2">
        <v>2019</v>
      </c>
      <c r="G775" s="3">
        <v>43620</v>
      </c>
      <c r="H775" s="2" t="s">
        <v>2549</v>
      </c>
      <c r="I775" s="2" t="s">
        <v>15</v>
      </c>
      <c r="J775" s="2" t="s">
        <v>2550</v>
      </c>
    </row>
    <row r="776" spans="1:10" x14ac:dyDescent="0.25">
      <c r="A776" s="2" t="s">
        <v>10</v>
      </c>
      <c r="B776" s="2" t="str">
        <f>"9781260440737"</f>
        <v>9781260440737</v>
      </c>
      <c r="C776" s="2" t="s">
        <v>2551</v>
      </c>
      <c r="D776" s="2" t="s">
        <v>2552</v>
      </c>
      <c r="E776" s="2" t="s">
        <v>13</v>
      </c>
      <c r="F776" s="2">
        <v>2019</v>
      </c>
      <c r="G776" s="3">
        <v>43670</v>
      </c>
      <c r="H776" s="2" t="s">
        <v>2553</v>
      </c>
      <c r="I776" s="2" t="s">
        <v>15</v>
      </c>
      <c r="J776" s="2" t="s">
        <v>2554</v>
      </c>
    </row>
    <row r="777" spans="1:10" x14ac:dyDescent="0.25">
      <c r="A777" s="2" t="s">
        <v>10</v>
      </c>
      <c r="B777" s="2" t="str">
        <f>"9781260135626"</f>
        <v>9781260135626</v>
      </c>
      <c r="C777" s="2" t="s">
        <v>2555</v>
      </c>
      <c r="D777" s="2" t="s">
        <v>2556</v>
      </c>
      <c r="E777" s="2" t="s">
        <v>13</v>
      </c>
      <c r="F777" s="2">
        <v>2018</v>
      </c>
      <c r="G777" s="3">
        <v>43432</v>
      </c>
      <c r="H777" s="2" t="s">
        <v>1556</v>
      </c>
      <c r="I777" s="2" t="s">
        <v>15</v>
      </c>
      <c r="J777" s="2" t="s">
        <v>2557</v>
      </c>
    </row>
    <row r="778" spans="1:10" x14ac:dyDescent="0.25">
      <c r="A778" s="2" t="s">
        <v>10</v>
      </c>
      <c r="B778" s="2" t="str">
        <f>"9781260135015"</f>
        <v>9781260135015</v>
      </c>
      <c r="C778" s="2" t="s">
        <v>2558</v>
      </c>
      <c r="D778" s="2" t="s">
        <v>1412</v>
      </c>
      <c r="E778" s="2" t="s">
        <v>13</v>
      </c>
      <c r="F778" s="2">
        <v>2019</v>
      </c>
      <c r="G778" s="3">
        <v>43523</v>
      </c>
      <c r="H778" s="2" t="s">
        <v>2559</v>
      </c>
      <c r="I778" s="2" t="s">
        <v>15</v>
      </c>
      <c r="J778" s="2" t="s">
        <v>2560</v>
      </c>
    </row>
    <row r="779" spans="1:10" x14ac:dyDescent="0.25">
      <c r="A779" s="2" t="s">
        <v>10</v>
      </c>
      <c r="B779" s="2" t="str">
        <f>"9781260143324"</f>
        <v>9781260143324</v>
      </c>
      <c r="C779" s="2" t="s">
        <v>2561</v>
      </c>
      <c r="D779" s="2" t="s">
        <v>1538</v>
      </c>
      <c r="E779" s="2" t="s">
        <v>13</v>
      </c>
      <c r="F779" s="2">
        <v>2019</v>
      </c>
      <c r="G779" s="3">
        <v>43584</v>
      </c>
      <c r="H779" s="2" t="s">
        <v>1679</v>
      </c>
      <c r="I779" s="2" t="s">
        <v>15</v>
      </c>
      <c r="J779" s="2" t="s">
        <v>2562</v>
      </c>
    </row>
    <row r="780" spans="1:10" x14ac:dyDescent="0.25">
      <c r="A780" s="2" t="s">
        <v>10</v>
      </c>
      <c r="B780" s="2" t="str">
        <f>"9781260128963"</f>
        <v>9781260128963</v>
      </c>
      <c r="C780" s="2" t="s">
        <v>2563</v>
      </c>
      <c r="D780" s="2" t="s">
        <v>2245</v>
      </c>
      <c r="E780" s="2" t="s">
        <v>13</v>
      </c>
      <c r="F780" s="2">
        <v>2020</v>
      </c>
      <c r="G780" s="3">
        <v>44126</v>
      </c>
      <c r="H780" s="2" t="s">
        <v>887</v>
      </c>
      <c r="I780" s="2" t="s">
        <v>15</v>
      </c>
      <c r="J780" s="2" t="s">
        <v>2564</v>
      </c>
    </row>
    <row r="781" spans="1:10" x14ac:dyDescent="0.25">
      <c r="A781" s="2" t="s">
        <v>10</v>
      </c>
      <c r="B781" s="2" t="str">
        <f>"9781260134780"</f>
        <v>9781260134780</v>
      </c>
      <c r="C781" s="2" t="s">
        <v>2565</v>
      </c>
      <c r="D781" s="2" t="s">
        <v>2566</v>
      </c>
      <c r="E781" s="2" t="s">
        <v>13</v>
      </c>
      <c r="F781" s="2">
        <v>2019</v>
      </c>
      <c r="G781" s="3">
        <v>43761</v>
      </c>
      <c r="H781" s="2" t="s">
        <v>2567</v>
      </c>
      <c r="I781" s="2" t="s">
        <v>15</v>
      </c>
      <c r="J781" s="2" t="s">
        <v>2568</v>
      </c>
    </row>
    <row r="782" spans="1:10" x14ac:dyDescent="0.25">
      <c r="A782" s="2" t="s">
        <v>10</v>
      </c>
      <c r="B782" s="2" t="str">
        <f>"9781260132311"</f>
        <v>9781260132311</v>
      </c>
      <c r="C782" s="2" t="s">
        <v>2569</v>
      </c>
      <c r="D782" s="2" t="s">
        <v>2570</v>
      </c>
      <c r="E782" s="2" t="s">
        <v>13</v>
      </c>
      <c r="F782" s="2">
        <v>2019</v>
      </c>
      <c r="G782" s="3">
        <v>43734</v>
      </c>
      <c r="H782" s="2" t="s">
        <v>830</v>
      </c>
      <c r="I782" s="2" t="s">
        <v>15</v>
      </c>
      <c r="J782" s="2" t="s">
        <v>2571</v>
      </c>
    </row>
    <row r="783" spans="1:10" x14ac:dyDescent="0.25">
      <c r="A783" s="2" t="s">
        <v>10</v>
      </c>
      <c r="B783" s="2" t="str">
        <f>"9781260143560"</f>
        <v>9781260143560</v>
      </c>
      <c r="C783" s="2" t="s">
        <v>2572</v>
      </c>
      <c r="D783" s="2" t="s">
        <v>1790</v>
      </c>
      <c r="E783" s="2" t="s">
        <v>13</v>
      </c>
      <c r="F783" s="2">
        <v>2020</v>
      </c>
      <c r="G783" s="3">
        <v>43938</v>
      </c>
      <c r="H783" s="2" t="s">
        <v>853</v>
      </c>
      <c r="I783" s="2" t="s">
        <v>15</v>
      </c>
      <c r="J783" s="2" t="s">
        <v>2573</v>
      </c>
    </row>
    <row r="784" spans="1:10" x14ac:dyDescent="0.25">
      <c r="A784" s="2" t="s">
        <v>10</v>
      </c>
      <c r="B784" s="2" t="str">
        <f>"9781260440751"</f>
        <v>9781260440751</v>
      </c>
      <c r="C784" s="2" t="s">
        <v>2574</v>
      </c>
      <c r="D784" s="2" t="s">
        <v>2552</v>
      </c>
      <c r="E784" s="2" t="s">
        <v>13</v>
      </c>
      <c r="F784" s="2">
        <v>2019</v>
      </c>
      <c r="G784" s="3">
        <v>43670</v>
      </c>
      <c r="H784" s="2" t="s">
        <v>2575</v>
      </c>
      <c r="I784" s="2" t="s">
        <v>15</v>
      </c>
      <c r="J784" s="2" t="s">
        <v>2576</v>
      </c>
    </row>
    <row r="785" spans="1:10" x14ac:dyDescent="0.25">
      <c r="A785" s="2" t="s">
        <v>10</v>
      </c>
      <c r="B785" s="2" t="str">
        <f>"9781260123111"</f>
        <v>9781260123111</v>
      </c>
      <c r="C785" s="2" t="s">
        <v>2577</v>
      </c>
      <c r="D785" s="2" t="s">
        <v>2578</v>
      </c>
      <c r="E785" s="2" t="s">
        <v>13</v>
      </c>
      <c r="F785" s="2">
        <v>2019</v>
      </c>
      <c r="G785" s="3">
        <v>43552</v>
      </c>
      <c r="H785" s="2" t="s">
        <v>2579</v>
      </c>
      <c r="I785" s="2" t="s">
        <v>15</v>
      </c>
      <c r="J785" s="2" t="s">
        <v>2580</v>
      </c>
    </row>
    <row r="786" spans="1:10" x14ac:dyDescent="0.25">
      <c r="A786" s="2" t="s">
        <v>10</v>
      </c>
      <c r="B786" s="2" t="str">
        <f>"9781260128673"</f>
        <v>9781260128673</v>
      </c>
      <c r="C786" s="2" t="s">
        <v>2581</v>
      </c>
      <c r="D786" s="2" t="s">
        <v>1377</v>
      </c>
      <c r="E786" s="2" t="s">
        <v>13</v>
      </c>
      <c r="F786" s="2">
        <v>2020</v>
      </c>
      <c r="G786" s="3">
        <v>43797</v>
      </c>
      <c r="H786" s="2" t="s">
        <v>1556</v>
      </c>
      <c r="I786" s="2" t="s">
        <v>15</v>
      </c>
      <c r="J786" s="2" t="s">
        <v>2582</v>
      </c>
    </row>
    <row r="787" spans="1:10" x14ac:dyDescent="0.25">
      <c r="A787" s="2" t="s">
        <v>10</v>
      </c>
      <c r="B787" s="2" t="str">
        <f>"9781260116458"</f>
        <v>9781260116458</v>
      </c>
      <c r="C787" s="2" t="s">
        <v>2583</v>
      </c>
      <c r="D787" s="2" t="s">
        <v>2584</v>
      </c>
      <c r="E787" s="2" t="s">
        <v>13</v>
      </c>
      <c r="F787" s="2">
        <v>2018</v>
      </c>
      <c r="G787" s="3">
        <v>42999</v>
      </c>
      <c r="H787" s="2" t="s">
        <v>2585</v>
      </c>
      <c r="I787" s="2" t="s">
        <v>15</v>
      </c>
      <c r="J787" s="2" t="s">
        <v>2586</v>
      </c>
    </row>
    <row r="788" spans="1:10" x14ac:dyDescent="0.25">
      <c r="A788" s="2" t="s">
        <v>10</v>
      </c>
      <c r="B788" s="2" t="str">
        <f>"9781260132236"</f>
        <v>9781260132236</v>
      </c>
      <c r="C788" s="2" t="s">
        <v>2587</v>
      </c>
      <c r="D788" s="2" t="s">
        <v>2588</v>
      </c>
      <c r="E788" s="2" t="s">
        <v>13</v>
      </c>
      <c r="F788" s="2">
        <v>2019</v>
      </c>
      <c r="G788" s="3">
        <v>43732</v>
      </c>
      <c r="H788" s="2" t="s">
        <v>2589</v>
      </c>
      <c r="I788" s="2" t="s">
        <v>15</v>
      </c>
      <c r="J788" s="2" t="s">
        <v>2590</v>
      </c>
    </row>
    <row r="789" spans="1:10" x14ac:dyDescent="0.25">
      <c r="A789" s="2" t="s">
        <v>10</v>
      </c>
      <c r="B789" s="2" t="str">
        <f>"9781260440799"</f>
        <v>9781260440799</v>
      </c>
      <c r="C789" s="2" t="s">
        <v>2591</v>
      </c>
      <c r="D789" s="2" t="s">
        <v>2592</v>
      </c>
      <c r="E789" s="2" t="s">
        <v>13</v>
      </c>
      <c r="F789" s="2">
        <v>2020</v>
      </c>
      <c r="G789" s="3">
        <v>43823</v>
      </c>
      <c r="H789" s="2" t="s">
        <v>1183</v>
      </c>
      <c r="I789" s="2" t="s">
        <v>15</v>
      </c>
      <c r="J789" s="2" t="s">
        <v>2593</v>
      </c>
    </row>
    <row r="790" spans="1:10" x14ac:dyDescent="0.25">
      <c r="A790" s="2" t="s">
        <v>10</v>
      </c>
      <c r="B790" s="2" t="str">
        <f>"9781260135282"</f>
        <v>9781260135282</v>
      </c>
      <c r="C790" s="2" t="s">
        <v>2594</v>
      </c>
      <c r="D790" s="2" t="s">
        <v>2595</v>
      </c>
      <c r="E790" s="2" t="s">
        <v>13</v>
      </c>
      <c r="F790" s="2">
        <v>2019</v>
      </c>
      <c r="G790" s="3">
        <v>43676</v>
      </c>
      <c r="H790" s="2" t="s">
        <v>2596</v>
      </c>
      <c r="I790" s="2" t="s">
        <v>15</v>
      </c>
      <c r="J790" s="2" t="s">
        <v>2597</v>
      </c>
    </row>
    <row r="791" spans="1:10" x14ac:dyDescent="0.25">
      <c r="A791" s="2" t="s">
        <v>10</v>
      </c>
      <c r="B791" s="2" t="str">
        <f>"9781260116977"</f>
        <v>9781260116977</v>
      </c>
      <c r="C791" s="2" t="s">
        <v>2598</v>
      </c>
      <c r="D791" s="2" t="s">
        <v>1415</v>
      </c>
      <c r="E791" s="2" t="s">
        <v>13</v>
      </c>
      <c r="F791" s="2">
        <v>2019</v>
      </c>
      <c r="G791" s="3">
        <v>43761</v>
      </c>
      <c r="H791" s="2" t="s">
        <v>1787</v>
      </c>
      <c r="I791" s="2" t="s">
        <v>15</v>
      </c>
      <c r="J791" s="2" t="s">
        <v>2599</v>
      </c>
    </row>
    <row r="792" spans="1:10" x14ac:dyDescent="0.25">
      <c r="A792" s="2" t="s">
        <v>10</v>
      </c>
      <c r="B792" s="2" t="str">
        <f>"9781260135237"</f>
        <v>9781260135237</v>
      </c>
      <c r="C792" s="2" t="s">
        <v>2600</v>
      </c>
      <c r="D792" s="2" t="s">
        <v>1837</v>
      </c>
      <c r="E792" s="2" t="s">
        <v>13</v>
      </c>
      <c r="F792" s="2">
        <v>2019</v>
      </c>
      <c r="G792" s="3">
        <v>43972</v>
      </c>
      <c r="H792" s="2" t="s">
        <v>2601</v>
      </c>
      <c r="I792" s="2" t="s">
        <v>15</v>
      </c>
      <c r="J792" s="2" t="s">
        <v>2602</v>
      </c>
    </row>
    <row r="793" spans="1:10" x14ac:dyDescent="0.25">
      <c r="A793" s="2" t="s">
        <v>10</v>
      </c>
      <c r="B793" s="2" t="str">
        <f>"9781260135039"</f>
        <v>9781260135039</v>
      </c>
      <c r="C793" s="2" t="s">
        <v>2603</v>
      </c>
      <c r="D793" s="2" t="s">
        <v>2604</v>
      </c>
      <c r="E793" s="2" t="s">
        <v>13</v>
      </c>
      <c r="F793" s="2">
        <v>2019</v>
      </c>
      <c r="G793" s="3">
        <v>44005</v>
      </c>
      <c r="H793" s="2" t="s">
        <v>2605</v>
      </c>
      <c r="I793" s="2" t="s">
        <v>15</v>
      </c>
      <c r="J793" s="2" t="s">
        <v>2606</v>
      </c>
    </row>
    <row r="794" spans="1:10" x14ac:dyDescent="0.25">
      <c r="A794" s="2" t="s">
        <v>10</v>
      </c>
      <c r="B794" s="2" t="str">
        <f>"9781260441437"</f>
        <v>9781260441437</v>
      </c>
      <c r="C794" s="2" t="s">
        <v>2607</v>
      </c>
      <c r="D794" s="2" t="s">
        <v>1642</v>
      </c>
      <c r="E794" s="2" t="s">
        <v>13</v>
      </c>
      <c r="F794" s="2">
        <v>2020</v>
      </c>
      <c r="G794" s="3">
        <v>43972</v>
      </c>
      <c r="H794" s="2" t="s">
        <v>2608</v>
      </c>
      <c r="I794" s="2" t="s">
        <v>15</v>
      </c>
      <c r="J794" s="2" t="s">
        <v>2609</v>
      </c>
    </row>
    <row r="795" spans="1:10" x14ac:dyDescent="0.25">
      <c r="A795" s="2" t="s">
        <v>10</v>
      </c>
      <c r="B795" s="2" t="str">
        <f>"9781260135909"</f>
        <v>9781260135909</v>
      </c>
      <c r="C795" s="2" t="s">
        <v>2610</v>
      </c>
      <c r="D795" s="2" t="s">
        <v>2611</v>
      </c>
      <c r="E795" s="2" t="s">
        <v>13</v>
      </c>
      <c r="F795" s="2">
        <v>2019</v>
      </c>
      <c r="G795" s="3">
        <v>43591</v>
      </c>
      <c r="H795" s="2" t="s">
        <v>2612</v>
      </c>
      <c r="I795" s="2" t="s">
        <v>15</v>
      </c>
      <c r="J795" s="2" t="s">
        <v>2613</v>
      </c>
    </row>
    <row r="796" spans="1:10" x14ac:dyDescent="0.25">
      <c r="A796" s="2" t="s">
        <v>10</v>
      </c>
      <c r="B796" s="2" t="str">
        <f>"9781260132366"</f>
        <v>9781260132366</v>
      </c>
      <c r="C796" s="2" t="s">
        <v>2614</v>
      </c>
      <c r="D796" s="2" t="s">
        <v>2615</v>
      </c>
      <c r="E796" s="2" t="s">
        <v>13</v>
      </c>
      <c r="F796" s="2">
        <v>2019</v>
      </c>
      <c r="G796" s="3">
        <v>44103</v>
      </c>
      <c r="H796" s="2" t="s">
        <v>2616</v>
      </c>
      <c r="I796" s="2" t="s">
        <v>15</v>
      </c>
      <c r="J796" s="2" t="s">
        <v>2617</v>
      </c>
    </row>
    <row r="797" spans="1:10" hidden="1" x14ac:dyDescent="0.25">
      <c r="A797" s="2" t="s">
        <v>10</v>
      </c>
      <c r="B797" s="2" t="str">
        <f>"9781260440591"</f>
        <v>9781260440591</v>
      </c>
      <c r="C797" s="2" t="s">
        <v>2618</v>
      </c>
      <c r="D797" s="2" t="s">
        <v>2619</v>
      </c>
      <c r="E797" s="2" t="s">
        <v>13</v>
      </c>
      <c r="F797" s="2">
        <v>2001</v>
      </c>
      <c r="G797" s="3">
        <v>43241</v>
      </c>
      <c r="I797" s="2" t="s">
        <v>44</v>
      </c>
      <c r="J797" s="2" t="s">
        <v>2620</v>
      </c>
    </row>
    <row r="798" spans="1:10" x14ac:dyDescent="0.25">
      <c r="A798" s="2" t="s">
        <v>10</v>
      </c>
      <c r="B798" s="2" t="str">
        <f>"9781260116434"</f>
        <v>9781260116434</v>
      </c>
      <c r="C798" s="2" t="s">
        <v>2621</v>
      </c>
      <c r="D798" s="2" t="s">
        <v>2622</v>
      </c>
      <c r="E798" s="2" t="s">
        <v>13</v>
      </c>
      <c r="F798" s="2">
        <v>2018</v>
      </c>
      <c r="G798" s="3">
        <v>43300</v>
      </c>
      <c r="H798" s="2" t="s">
        <v>2623</v>
      </c>
      <c r="I798" s="2" t="s">
        <v>15</v>
      </c>
      <c r="J798" s="2" t="s">
        <v>2624</v>
      </c>
    </row>
    <row r="799" spans="1:10" x14ac:dyDescent="0.25">
      <c r="A799" s="2" t="s">
        <v>10</v>
      </c>
      <c r="B799" s="2" t="str">
        <f>"9781260135855"</f>
        <v>9781260135855</v>
      </c>
      <c r="C799" s="2" t="s">
        <v>2625</v>
      </c>
      <c r="D799" s="2" t="s">
        <v>2626</v>
      </c>
      <c r="E799" s="2" t="s">
        <v>13</v>
      </c>
      <c r="F799" s="2">
        <v>2019</v>
      </c>
      <c r="G799" s="3">
        <v>44104</v>
      </c>
      <c r="H799" s="2" t="s">
        <v>2627</v>
      </c>
      <c r="I799" s="2" t="s">
        <v>15</v>
      </c>
      <c r="J799" s="2" t="s">
        <v>2628</v>
      </c>
    </row>
    <row r="800" spans="1:10" x14ac:dyDescent="0.25">
      <c r="A800" s="2" t="s">
        <v>10</v>
      </c>
      <c r="B800" s="2" t="str">
        <f>"9781260135268"</f>
        <v>9781260135268</v>
      </c>
      <c r="C800" s="2" t="s">
        <v>2629</v>
      </c>
      <c r="D800" s="2" t="s">
        <v>2630</v>
      </c>
      <c r="E800" s="2" t="s">
        <v>13</v>
      </c>
      <c r="F800" s="2">
        <v>2020</v>
      </c>
      <c r="G800" s="3">
        <v>43823</v>
      </c>
      <c r="H800" s="2" t="s">
        <v>2631</v>
      </c>
      <c r="I800" s="2" t="s">
        <v>15</v>
      </c>
      <c r="J800" s="2" t="s">
        <v>2632</v>
      </c>
    </row>
    <row r="801" spans="1:10" x14ac:dyDescent="0.25">
      <c r="A801" s="2" t="s">
        <v>10</v>
      </c>
      <c r="B801" s="2" t="str">
        <f>"9781260122251"</f>
        <v>9781260122251</v>
      </c>
      <c r="C801" s="2" t="s">
        <v>2633</v>
      </c>
      <c r="D801" s="2" t="s">
        <v>2634</v>
      </c>
      <c r="E801" s="2" t="s">
        <v>13</v>
      </c>
      <c r="F801" s="2">
        <v>2018</v>
      </c>
      <c r="G801" s="3">
        <v>43369</v>
      </c>
      <c r="H801" s="2" t="s">
        <v>2635</v>
      </c>
      <c r="I801" s="2" t="s">
        <v>15</v>
      </c>
      <c r="J801" s="2" t="s">
        <v>2636</v>
      </c>
    </row>
    <row r="802" spans="1:10" x14ac:dyDescent="0.25">
      <c r="A802" s="2" t="s">
        <v>10</v>
      </c>
      <c r="B802" s="2" t="str">
        <f>"9781260117585"</f>
        <v>9781260117585</v>
      </c>
      <c r="C802" s="2" t="s">
        <v>2637</v>
      </c>
      <c r="D802" s="2" t="s">
        <v>2382</v>
      </c>
      <c r="E802" s="2" t="s">
        <v>13</v>
      </c>
      <c r="F802" s="2">
        <v>2018</v>
      </c>
      <c r="G802" s="3">
        <v>42787</v>
      </c>
      <c r="H802" s="2" t="s">
        <v>1384</v>
      </c>
      <c r="I802" s="2" t="s">
        <v>15</v>
      </c>
      <c r="J802" s="2" t="s">
        <v>2638</v>
      </c>
    </row>
    <row r="803" spans="1:10" x14ac:dyDescent="0.25">
      <c r="A803" s="2" t="s">
        <v>10</v>
      </c>
      <c r="B803" s="2" t="str">
        <f>"9781260134858"</f>
        <v>9781260134858</v>
      </c>
      <c r="C803" s="2" t="s">
        <v>2639</v>
      </c>
      <c r="D803" s="2" t="s">
        <v>2640</v>
      </c>
      <c r="E803" s="2" t="s">
        <v>13</v>
      </c>
      <c r="F803" s="2">
        <v>2019</v>
      </c>
      <c r="G803" s="3">
        <v>43761</v>
      </c>
      <c r="H803" s="2" t="s">
        <v>2641</v>
      </c>
      <c r="I803" s="2" t="s">
        <v>15</v>
      </c>
      <c r="J803" s="2" t="s">
        <v>2642</v>
      </c>
    </row>
    <row r="804" spans="1:10" x14ac:dyDescent="0.25">
      <c r="A804" s="2" t="s">
        <v>10</v>
      </c>
      <c r="B804" s="2" t="str">
        <f>"9781260116106"</f>
        <v>9781260116106</v>
      </c>
      <c r="C804" s="2" t="s">
        <v>2643</v>
      </c>
      <c r="D804" s="2" t="s">
        <v>2644</v>
      </c>
      <c r="E804" s="2" t="s">
        <v>13</v>
      </c>
      <c r="F804" s="2">
        <v>2018</v>
      </c>
      <c r="G804" s="3">
        <v>43280</v>
      </c>
      <c r="H804" s="2" t="s">
        <v>2645</v>
      </c>
      <c r="I804" s="2" t="s">
        <v>15</v>
      </c>
      <c r="J804" s="2" t="s">
        <v>2646</v>
      </c>
    </row>
    <row r="805" spans="1:10" x14ac:dyDescent="0.25">
      <c r="A805" s="2" t="s">
        <v>10</v>
      </c>
      <c r="B805" s="2" t="str">
        <f>"9781260122312"</f>
        <v>9781260122312</v>
      </c>
      <c r="C805" s="2" t="s">
        <v>2647</v>
      </c>
      <c r="D805" s="2" t="s">
        <v>2648</v>
      </c>
      <c r="E805" s="2" t="s">
        <v>13</v>
      </c>
      <c r="F805" s="2">
        <v>2019</v>
      </c>
      <c r="G805" s="3">
        <v>43432</v>
      </c>
      <c r="H805" s="2" t="s">
        <v>716</v>
      </c>
      <c r="I805" s="2" t="s">
        <v>15</v>
      </c>
      <c r="J805" s="2" t="s">
        <v>2649</v>
      </c>
    </row>
    <row r="806" spans="1:10" x14ac:dyDescent="0.25">
      <c r="A806" s="2" t="s">
        <v>10</v>
      </c>
      <c r="B806" s="2" t="str">
        <f>"9781260117608"</f>
        <v>9781260117608</v>
      </c>
      <c r="C806" s="2" t="s">
        <v>2650</v>
      </c>
      <c r="D806" s="2" t="s">
        <v>2651</v>
      </c>
      <c r="E806" s="2" t="s">
        <v>13</v>
      </c>
      <c r="F806" s="2">
        <v>2018</v>
      </c>
      <c r="G806" s="3">
        <v>43398</v>
      </c>
      <c r="H806" s="2" t="s">
        <v>2652</v>
      </c>
      <c r="I806" s="2" t="s">
        <v>15</v>
      </c>
      <c r="J806" s="2" t="s">
        <v>2653</v>
      </c>
    </row>
    <row r="807" spans="1:10" x14ac:dyDescent="0.25">
      <c r="A807" s="2" t="s">
        <v>10</v>
      </c>
      <c r="B807" s="2" t="str">
        <f>"9781260128581"</f>
        <v>9781260128581</v>
      </c>
      <c r="C807" s="2" t="s">
        <v>2654</v>
      </c>
      <c r="D807" s="2" t="s">
        <v>2655</v>
      </c>
      <c r="E807" s="2" t="s">
        <v>13</v>
      </c>
      <c r="F807" s="2">
        <v>2020</v>
      </c>
      <c r="G807" s="3">
        <v>43973</v>
      </c>
      <c r="H807" s="2" t="s">
        <v>2656</v>
      </c>
      <c r="I807" s="2" t="s">
        <v>15</v>
      </c>
      <c r="J807" s="2" t="s">
        <v>2657</v>
      </c>
    </row>
    <row r="808" spans="1:10" x14ac:dyDescent="0.25">
      <c r="A808" s="2" t="s">
        <v>10</v>
      </c>
      <c r="B808" s="2" t="str">
        <f>"9781260121827"</f>
        <v>9781260121827</v>
      </c>
      <c r="C808" s="2" t="s">
        <v>2658</v>
      </c>
      <c r="D808" s="2" t="s">
        <v>1286</v>
      </c>
      <c r="E808" s="2" t="s">
        <v>13</v>
      </c>
      <c r="F808" s="2">
        <v>2018</v>
      </c>
      <c r="G808" s="3">
        <v>43370</v>
      </c>
      <c r="H808" s="2" t="s">
        <v>536</v>
      </c>
      <c r="I808" s="2" t="s">
        <v>15</v>
      </c>
      <c r="J808" s="2" t="s">
        <v>2659</v>
      </c>
    </row>
    <row r="809" spans="1:10" x14ac:dyDescent="0.25">
      <c r="A809" s="2" t="s">
        <v>10</v>
      </c>
      <c r="B809" s="2" t="str">
        <f>"9781260440775"</f>
        <v>9781260440775</v>
      </c>
      <c r="C809" s="2" t="s">
        <v>2660</v>
      </c>
      <c r="D809" s="2" t="s">
        <v>2552</v>
      </c>
      <c r="E809" s="2" t="s">
        <v>13</v>
      </c>
      <c r="F809" s="2">
        <v>2019</v>
      </c>
      <c r="G809" s="3">
        <v>43670</v>
      </c>
      <c r="H809" s="2" t="s">
        <v>2661</v>
      </c>
      <c r="I809" s="2" t="s">
        <v>15</v>
      </c>
      <c r="J809" s="2" t="s">
        <v>2662</v>
      </c>
    </row>
    <row r="810" spans="1:10" x14ac:dyDescent="0.25">
      <c r="A810" s="2" t="s">
        <v>10</v>
      </c>
      <c r="B810" s="2" t="str">
        <f>"9781260120974"</f>
        <v>9781260120974</v>
      </c>
      <c r="C810" s="2" t="s">
        <v>2663</v>
      </c>
      <c r="D810" s="2" t="s">
        <v>2467</v>
      </c>
      <c r="E810" s="2" t="s">
        <v>13</v>
      </c>
      <c r="F810" s="2">
        <v>2019</v>
      </c>
      <c r="G810" s="3">
        <v>43587</v>
      </c>
      <c r="H810" s="2" t="s">
        <v>2664</v>
      </c>
      <c r="I810" s="2" t="s">
        <v>15</v>
      </c>
      <c r="J810" s="2" t="s">
        <v>2665</v>
      </c>
    </row>
    <row r="811" spans="1:10" x14ac:dyDescent="0.25">
      <c r="A811" s="2" t="s">
        <v>10</v>
      </c>
      <c r="B811" s="2" t="str">
        <f>"9781260120769"</f>
        <v>9781260120769</v>
      </c>
      <c r="C811" s="2" t="s">
        <v>2666</v>
      </c>
      <c r="D811" s="2" t="s">
        <v>2667</v>
      </c>
      <c r="E811" s="2" t="s">
        <v>13</v>
      </c>
      <c r="F811" s="2">
        <v>2019</v>
      </c>
      <c r="G811" s="3">
        <v>43588</v>
      </c>
      <c r="H811" s="2" t="s">
        <v>2668</v>
      </c>
      <c r="I811" s="2" t="s">
        <v>15</v>
      </c>
      <c r="J811" s="2" t="s">
        <v>2669</v>
      </c>
    </row>
    <row r="812" spans="1:10" x14ac:dyDescent="0.25">
      <c r="A812" s="2" t="s">
        <v>10</v>
      </c>
      <c r="B812" s="2" t="str">
        <f>"9781260116892"</f>
        <v>9781260116892</v>
      </c>
      <c r="C812" s="2" t="s">
        <v>2670</v>
      </c>
      <c r="D812" s="2" t="s">
        <v>2671</v>
      </c>
      <c r="E812" s="2" t="s">
        <v>13</v>
      </c>
      <c r="F812" s="2">
        <v>2019</v>
      </c>
      <c r="G812" s="3">
        <v>43552</v>
      </c>
      <c r="H812" s="2" t="s">
        <v>256</v>
      </c>
      <c r="I812" s="2" t="s">
        <v>15</v>
      </c>
      <c r="J812" s="2" t="s">
        <v>2672</v>
      </c>
    </row>
    <row r="813" spans="1:10" x14ac:dyDescent="0.25">
      <c r="A813" s="2" t="s">
        <v>10</v>
      </c>
      <c r="B813" s="2" t="str">
        <f>"9781260120783"</f>
        <v>9781260120783</v>
      </c>
      <c r="C813" s="2" t="s">
        <v>2673</v>
      </c>
      <c r="D813" s="2" t="s">
        <v>2674</v>
      </c>
      <c r="E813" s="2" t="s">
        <v>13</v>
      </c>
      <c r="F813" s="2">
        <v>2019</v>
      </c>
      <c r="G813" s="3">
        <v>43584</v>
      </c>
      <c r="H813" s="2" t="s">
        <v>639</v>
      </c>
      <c r="I813" s="2" t="s">
        <v>15</v>
      </c>
      <c r="J813" s="2" t="s">
        <v>2675</v>
      </c>
    </row>
    <row r="814" spans="1:10" x14ac:dyDescent="0.25">
      <c r="A814" s="2" t="s">
        <v>10</v>
      </c>
      <c r="B814" s="2" t="str">
        <f>"9781260441055"</f>
        <v>9781260441055</v>
      </c>
      <c r="C814" s="2" t="s">
        <v>2676</v>
      </c>
      <c r="D814" s="2" t="s">
        <v>2677</v>
      </c>
      <c r="E814" s="2" t="s">
        <v>13</v>
      </c>
      <c r="F814" s="2">
        <v>2019</v>
      </c>
      <c r="G814" s="3">
        <v>43676</v>
      </c>
      <c r="H814" s="2" t="s">
        <v>2678</v>
      </c>
      <c r="I814" s="2" t="s">
        <v>15</v>
      </c>
      <c r="J814" s="2" t="s">
        <v>2679</v>
      </c>
    </row>
    <row r="815" spans="1:10" x14ac:dyDescent="0.25">
      <c r="A815" s="2" t="s">
        <v>10</v>
      </c>
      <c r="B815" s="2" t="str">
        <f>"9781260143249"</f>
        <v>9781260143249</v>
      </c>
      <c r="C815" s="2" t="s">
        <v>2680</v>
      </c>
      <c r="D815" s="2" t="s">
        <v>2382</v>
      </c>
      <c r="E815" s="2" t="s">
        <v>13</v>
      </c>
      <c r="F815" s="2">
        <v>2019</v>
      </c>
      <c r="G815" s="3">
        <v>43523</v>
      </c>
      <c r="H815" s="2" t="s">
        <v>1384</v>
      </c>
      <c r="I815" s="2" t="s">
        <v>15</v>
      </c>
      <c r="J815" s="2" t="s">
        <v>2681</v>
      </c>
    </row>
    <row r="816" spans="1:10" x14ac:dyDescent="0.25">
      <c r="A816" s="2" t="s">
        <v>10</v>
      </c>
      <c r="B816" s="2" t="str">
        <f>"9781260457247"</f>
        <v>9781260457247</v>
      </c>
      <c r="C816" s="2" t="s">
        <v>2682</v>
      </c>
      <c r="D816" s="2" t="s">
        <v>2683</v>
      </c>
      <c r="E816" s="2" t="s">
        <v>13</v>
      </c>
      <c r="F816" s="2">
        <v>2020</v>
      </c>
      <c r="G816" s="3">
        <v>44103</v>
      </c>
      <c r="H816" s="2" t="s">
        <v>2684</v>
      </c>
      <c r="I816" s="2" t="s">
        <v>15</v>
      </c>
      <c r="J816" s="2" t="s">
        <v>2685</v>
      </c>
    </row>
    <row r="817" spans="1:10" x14ac:dyDescent="0.25">
      <c r="A817" s="2" t="s">
        <v>10</v>
      </c>
      <c r="B817" s="2" t="str">
        <f>"9781260460254"</f>
        <v>9781260460254</v>
      </c>
      <c r="C817" s="2" t="s">
        <v>2686</v>
      </c>
      <c r="D817" s="2" t="s">
        <v>2687</v>
      </c>
      <c r="E817" s="2" t="s">
        <v>13</v>
      </c>
      <c r="F817" s="2">
        <v>2021</v>
      </c>
      <c r="G817" s="3">
        <v>44127</v>
      </c>
      <c r="H817" s="2" t="s">
        <v>589</v>
      </c>
      <c r="I817" s="2" t="s">
        <v>15</v>
      </c>
      <c r="J817" s="2" t="s">
        <v>2688</v>
      </c>
    </row>
    <row r="818" spans="1:10" x14ac:dyDescent="0.25">
      <c r="A818" s="2" t="s">
        <v>10</v>
      </c>
      <c r="B818" s="2" t="str">
        <f>"9781260453751"</f>
        <v>9781260453751</v>
      </c>
      <c r="C818" s="2" t="s">
        <v>2689</v>
      </c>
      <c r="D818" s="2" t="s">
        <v>2690</v>
      </c>
      <c r="E818" s="2" t="s">
        <v>13</v>
      </c>
      <c r="F818" s="2">
        <v>2020</v>
      </c>
      <c r="G818" s="3">
        <v>44011</v>
      </c>
      <c r="H818" s="2" t="s">
        <v>393</v>
      </c>
      <c r="I818" s="2" t="s">
        <v>15</v>
      </c>
      <c r="J818" s="2" t="s">
        <v>2691</v>
      </c>
    </row>
    <row r="819" spans="1:10" x14ac:dyDescent="0.25">
      <c r="A819" s="2" t="s">
        <v>10</v>
      </c>
      <c r="B819" s="2" t="str">
        <f>"9781260456158"</f>
        <v>9781260456158</v>
      </c>
      <c r="C819" s="2" t="s">
        <v>2692</v>
      </c>
      <c r="D819" s="2" t="s">
        <v>2693</v>
      </c>
      <c r="E819" s="2" t="s">
        <v>13</v>
      </c>
      <c r="F819" s="2">
        <v>2020</v>
      </c>
      <c r="G819" s="3">
        <v>44061</v>
      </c>
      <c r="H819" s="2" t="s">
        <v>1384</v>
      </c>
      <c r="I819" s="2" t="s">
        <v>15</v>
      </c>
      <c r="J819" s="2" t="s">
        <v>2694</v>
      </c>
    </row>
    <row r="820" spans="1:10" x14ac:dyDescent="0.25">
      <c r="A820" s="2" t="s">
        <v>10</v>
      </c>
      <c r="B820" s="2" t="str">
        <f>"9781260456547"</f>
        <v>9781260456547</v>
      </c>
      <c r="C820" s="2" t="s">
        <v>2695</v>
      </c>
      <c r="D820" s="2" t="s">
        <v>1953</v>
      </c>
      <c r="E820" s="2" t="s">
        <v>13</v>
      </c>
      <c r="F820" s="2">
        <v>2020</v>
      </c>
      <c r="G820" s="3">
        <v>43857</v>
      </c>
      <c r="H820" s="2" t="s">
        <v>393</v>
      </c>
      <c r="I820" s="2" t="s">
        <v>15</v>
      </c>
      <c r="J820" s="2" t="s">
        <v>2696</v>
      </c>
    </row>
    <row r="821" spans="1:10" x14ac:dyDescent="0.25">
      <c r="A821" s="2" t="s">
        <v>10</v>
      </c>
      <c r="B821" s="2" t="str">
        <f>"9781260441512"</f>
        <v>9781260441512</v>
      </c>
      <c r="C821" s="2" t="s">
        <v>2697</v>
      </c>
      <c r="D821" s="2" t="s">
        <v>2698</v>
      </c>
      <c r="E821" s="2" t="s">
        <v>13</v>
      </c>
      <c r="F821" s="2">
        <v>2019</v>
      </c>
      <c r="G821" s="3">
        <v>44061</v>
      </c>
      <c r="H821" s="2" t="s">
        <v>2699</v>
      </c>
      <c r="I821" s="2" t="s">
        <v>15</v>
      </c>
      <c r="J821" s="2" t="s">
        <v>2700</v>
      </c>
    </row>
    <row r="822" spans="1:10" x14ac:dyDescent="0.25">
      <c r="A822" s="2" t="s">
        <v>10</v>
      </c>
      <c r="B822" s="2" t="str">
        <f>"9781260458930"</f>
        <v>9781260458930</v>
      </c>
      <c r="C822" s="2" t="s">
        <v>2701</v>
      </c>
      <c r="D822" s="2" t="s">
        <v>2702</v>
      </c>
      <c r="E822" s="2" t="s">
        <v>13</v>
      </c>
      <c r="F822" s="2">
        <v>2020</v>
      </c>
      <c r="G822" s="3">
        <v>44128</v>
      </c>
      <c r="H822" s="2" t="s">
        <v>2186</v>
      </c>
      <c r="I822" s="2" t="s">
        <v>15</v>
      </c>
      <c r="J822" s="2" t="s">
        <v>2703</v>
      </c>
    </row>
    <row r="823" spans="1:10" x14ac:dyDescent="0.25">
      <c r="A823" s="2" t="s">
        <v>10</v>
      </c>
      <c r="B823" s="2" t="str">
        <f>"9781260454246"</f>
        <v>9781260454246</v>
      </c>
      <c r="C823" s="2" t="s">
        <v>2704</v>
      </c>
      <c r="D823" s="2" t="s">
        <v>2062</v>
      </c>
      <c r="E823" s="2" t="s">
        <v>13</v>
      </c>
      <c r="F823" s="2">
        <v>2020</v>
      </c>
      <c r="G823" s="3">
        <v>43857</v>
      </c>
      <c r="H823" s="2" t="s">
        <v>2705</v>
      </c>
      <c r="I823" s="2" t="s">
        <v>15</v>
      </c>
      <c r="J823" s="2" t="s">
        <v>2706</v>
      </c>
    </row>
    <row r="824" spans="1:10" x14ac:dyDescent="0.25">
      <c r="A824" s="2" t="s">
        <v>10</v>
      </c>
      <c r="B824" s="2" t="str">
        <f>"9781260454208"</f>
        <v>9781260454208</v>
      </c>
      <c r="C824" s="2" t="s">
        <v>2707</v>
      </c>
      <c r="D824" s="2" t="s">
        <v>2708</v>
      </c>
      <c r="E824" s="2" t="s">
        <v>13</v>
      </c>
      <c r="F824" s="2">
        <v>2020</v>
      </c>
      <c r="G824" s="3">
        <v>43921</v>
      </c>
      <c r="H824" s="2" t="s">
        <v>2447</v>
      </c>
      <c r="I824" s="2" t="s">
        <v>15</v>
      </c>
      <c r="J824" s="2" t="s">
        <v>2709</v>
      </c>
    </row>
    <row r="825" spans="1:10" x14ac:dyDescent="0.25">
      <c r="A825" s="2" t="s">
        <v>10</v>
      </c>
      <c r="B825" s="2" t="str">
        <f>"9781260453836"</f>
        <v>9781260453836</v>
      </c>
      <c r="C825" s="2" t="s">
        <v>2710</v>
      </c>
      <c r="D825" s="2" t="s">
        <v>2711</v>
      </c>
      <c r="E825" s="2" t="s">
        <v>13</v>
      </c>
      <c r="F825" s="2">
        <v>2020</v>
      </c>
      <c r="G825" s="3">
        <v>43914</v>
      </c>
      <c r="H825" s="2" t="s">
        <v>1069</v>
      </c>
      <c r="I825" s="2" t="s">
        <v>15</v>
      </c>
      <c r="J825" s="2" t="s">
        <v>2712</v>
      </c>
    </row>
    <row r="826" spans="1:10" x14ac:dyDescent="0.25">
      <c r="A826" s="2" t="s">
        <v>10</v>
      </c>
      <c r="B826" s="2" t="str">
        <f>"9781260456844"</f>
        <v>9781260456844</v>
      </c>
      <c r="C826" s="2" t="s">
        <v>2713</v>
      </c>
      <c r="D826" s="2" t="s">
        <v>2714</v>
      </c>
      <c r="E826" s="2" t="s">
        <v>13</v>
      </c>
      <c r="F826" s="2">
        <v>2019</v>
      </c>
      <c r="G826" s="3">
        <v>43699</v>
      </c>
      <c r="H826" s="2" t="s">
        <v>2715</v>
      </c>
      <c r="I826" s="2" t="s">
        <v>15</v>
      </c>
      <c r="J826" s="2" t="s">
        <v>2716</v>
      </c>
    </row>
    <row r="827" spans="1:10" x14ac:dyDescent="0.25">
      <c r="A827" s="2" t="s">
        <v>10</v>
      </c>
      <c r="B827" s="2" t="str">
        <f>"9789339205430"</f>
        <v>9789339205430</v>
      </c>
      <c r="C827" s="2" t="s">
        <v>2717</v>
      </c>
      <c r="D827" s="2" t="s">
        <v>145</v>
      </c>
      <c r="E827" s="2" t="s">
        <v>13</v>
      </c>
      <c r="F827" s="2">
        <v>2014</v>
      </c>
      <c r="G827" s="3">
        <v>41999</v>
      </c>
      <c r="H827" s="2" t="s">
        <v>2718</v>
      </c>
      <c r="I827" s="2" t="s">
        <v>15</v>
      </c>
      <c r="J827" s="2" t="s">
        <v>2719</v>
      </c>
    </row>
    <row r="828" spans="1:10" x14ac:dyDescent="0.25">
      <c r="A828" s="2" t="s">
        <v>10</v>
      </c>
      <c r="B828" s="2" t="str">
        <f>"9781260456523"</f>
        <v>9781260456523</v>
      </c>
      <c r="C828" s="2" t="s">
        <v>2720</v>
      </c>
      <c r="D828" s="2" t="s">
        <v>1953</v>
      </c>
      <c r="E828" s="2" t="s">
        <v>13</v>
      </c>
      <c r="F828" s="2">
        <v>2020</v>
      </c>
      <c r="G828" s="3">
        <v>43857</v>
      </c>
      <c r="H828" s="2" t="s">
        <v>2721</v>
      </c>
      <c r="I828" s="2" t="s">
        <v>15</v>
      </c>
      <c r="J828" s="2" t="s">
        <v>2722</v>
      </c>
    </row>
    <row r="829" spans="1:10" x14ac:dyDescent="0.25">
      <c r="A829" s="2" t="s">
        <v>10</v>
      </c>
      <c r="B829" s="2" t="str">
        <f>"9781260459098"</f>
        <v>9781260459098</v>
      </c>
      <c r="C829" s="2" t="s">
        <v>2723</v>
      </c>
      <c r="D829" s="2" t="s">
        <v>2724</v>
      </c>
      <c r="E829" s="2" t="s">
        <v>13</v>
      </c>
      <c r="F829" s="2">
        <v>2020</v>
      </c>
      <c r="G829" s="3">
        <v>43938</v>
      </c>
      <c r="H829" s="2" t="s">
        <v>2725</v>
      </c>
      <c r="I829" s="2" t="s">
        <v>15</v>
      </c>
      <c r="J829" s="2" t="s">
        <v>2726</v>
      </c>
    </row>
    <row r="830" spans="1:10" x14ac:dyDescent="0.25">
      <c r="A830" s="2" t="s">
        <v>10</v>
      </c>
      <c r="B830" s="2" t="str">
        <f>"9781260459241"</f>
        <v>9781260459241</v>
      </c>
      <c r="C830" s="2" t="s">
        <v>2727</v>
      </c>
      <c r="D830" s="2" t="s">
        <v>2728</v>
      </c>
      <c r="E830" s="2" t="s">
        <v>13</v>
      </c>
      <c r="F830" s="2">
        <v>2020</v>
      </c>
      <c r="G830" s="3">
        <v>44036</v>
      </c>
      <c r="H830" s="2" t="s">
        <v>2729</v>
      </c>
      <c r="I830" s="2" t="s">
        <v>15</v>
      </c>
      <c r="J830" s="2" t="s">
        <v>2730</v>
      </c>
    </row>
    <row r="831" spans="1:10" x14ac:dyDescent="0.25">
      <c r="A831" s="2" t="s">
        <v>10</v>
      </c>
      <c r="B831" s="2" t="str">
        <f>"9781260441451"</f>
        <v>9781260441451</v>
      </c>
      <c r="C831" s="2" t="s">
        <v>2731</v>
      </c>
      <c r="D831" s="2" t="s">
        <v>2732</v>
      </c>
      <c r="E831" s="2" t="s">
        <v>13</v>
      </c>
      <c r="F831" s="2">
        <v>2019</v>
      </c>
      <c r="G831" s="3">
        <v>43619</v>
      </c>
      <c r="H831" s="2" t="s">
        <v>857</v>
      </c>
      <c r="I831" s="2" t="s">
        <v>15</v>
      </c>
      <c r="J831" s="2" t="s">
        <v>2733</v>
      </c>
    </row>
    <row r="832" spans="1:10" x14ac:dyDescent="0.25">
      <c r="A832" s="2" t="s">
        <v>10</v>
      </c>
      <c r="B832" s="2" t="str">
        <f>"9781260457148"</f>
        <v>9781260457148</v>
      </c>
      <c r="C832" s="2" t="s">
        <v>2734</v>
      </c>
      <c r="D832" s="2" t="s">
        <v>2735</v>
      </c>
      <c r="E832" s="2" t="s">
        <v>13</v>
      </c>
      <c r="F832" s="2">
        <v>2020</v>
      </c>
      <c r="G832" s="3">
        <v>43886</v>
      </c>
      <c r="H832" s="2" t="s">
        <v>853</v>
      </c>
      <c r="I832" s="2" t="s">
        <v>15</v>
      </c>
      <c r="J832" s="2" t="s">
        <v>2736</v>
      </c>
    </row>
    <row r="833" spans="1:10" x14ac:dyDescent="0.25">
      <c r="A833" s="2" t="s">
        <v>10</v>
      </c>
      <c r="B833" s="2" t="str">
        <f>"9781260441604"</f>
        <v>9781260441604</v>
      </c>
      <c r="C833" s="2" t="s">
        <v>2737</v>
      </c>
      <c r="D833" s="2" t="s">
        <v>2738</v>
      </c>
      <c r="E833" s="2" t="s">
        <v>13</v>
      </c>
      <c r="F833" s="2">
        <v>2020</v>
      </c>
      <c r="G833" s="3">
        <v>43972</v>
      </c>
      <c r="H833" s="2" t="s">
        <v>2739</v>
      </c>
      <c r="I833" s="2" t="s">
        <v>15</v>
      </c>
      <c r="J833" s="2" t="s">
        <v>2740</v>
      </c>
    </row>
    <row r="834" spans="1:10" x14ac:dyDescent="0.25">
      <c r="A834" s="2" t="s">
        <v>10</v>
      </c>
      <c r="B834" s="2" t="str">
        <f>"9781260456134"</f>
        <v>9781260456134</v>
      </c>
      <c r="C834" s="2" t="s">
        <v>2741</v>
      </c>
      <c r="D834" s="2" t="s">
        <v>2534</v>
      </c>
      <c r="E834" s="2" t="s">
        <v>13</v>
      </c>
      <c r="F834" s="2">
        <v>2020</v>
      </c>
      <c r="G834" s="3">
        <v>44063</v>
      </c>
      <c r="H834" s="2" t="s">
        <v>2742</v>
      </c>
      <c r="I834" s="2" t="s">
        <v>15</v>
      </c>
      <c r="J834" s="2" t="s">
        <v>2743</v>
      </c>
    </row>
    <row r="835" spans="1:10" x14ac:dyDescent="0.25">
      <c r="A835" s="2" t="s">
        <v>10</v>
      </c>
      <c r="B835" s="2" t="str">
        <f>"9781260456639"</f>
        <v>9781260456639</v>
      </c>
      <c r="C835" s="2" t="s">
        <v>2744</v>
      </c>
      <c r="D835" s="2" t="s">
        <v>2745</v>
      </c>
      <c r="E835" s="2" t="s">
        <v>13</v>
      </c>
      <c r="F835" s="2">
        <v>2020</v>
      </c>
      <c r="G835" s="3">
        <v>43857</v>
      </c>
      <c r="H835" s="2" t="s">
        <v>2746</v>
      </c>
      <c r="I835" s="2" t="s">
        <v>15</v>
      </c>
      <c r="J835" s="2" t="s">
        <v>2747</v>
      </c>
    </row>
    <row r="836" spans="1:10" x14ac:dyDescent="0.25">
      <c r="A836" s="2" t="s">
        <v>10</v>
      </c>
      <c r="B836" s="2" t="str">
        <f>"9781260453782"</f>
        <v>9781260453782</v>
      </c>
      <c r="C836" s="2" t="s">
        <v>2748</v>
      </c>
      <c r="D836" s="2" t="s">
        <v>1541</v>
      </c>
      <c r="E836" s="2" t="s">
        <v>13</v>
      </c>
      <c r="F836" s="2">
        <v>2020</v>
      </c>
      <c r="G836" s="3">
        <v>43921</v>
      </c>
      <c r="H836" s="2" t="s">
        <v>2749</v>
      </c>
      <c r="I836" s="2" t="s">
        <v>15</v>
      </c>
      <c r="J836" s="2" t="s">
        <v>2750</v>
      </c>
    </row>
    <row r="837" spans="1:10" x14ac:dyDescent="0.25">
      <c r="A837" s="2" t="s">
        <v>10</v>
      </c>
      <c r="B837" s="2" t="str">
        <f>"9781260455304"</f>
        <v>9781260455304</v>
      </c>
      <c r="C837" s="2" t="s">
        <v>2751</v>
      </c>
      <c r="D837" s="2" t="s">
        <v>2724</v>
      </c>
      <c r="E837" s="2" t="s">
        <v>13</v>
      </c>
      <c r="F837" s="2">
        <v>2020</v>
      </c>
      <c r="G837" s="3">
        <v>43699</v>
      </c>
      <c r="H837" s="2" t="s">
        <v>692</v>
      </c>
      <c r="I837" s="2" t="s">
        <v>15</v>
      </c>
      <c r="J837" s="2" t="s">
        <v>2752</v>
      </c>
    </row>
    <row r="838" spans="1:10" x14ac:dyDescent="0.25">
      <c r="A838" s="2" t="s">
        <v>10</v>
      </c>
      <c r="B838" s="2" t="str">
        <f>"9781260457643"</f>
        <v>9781260457643</v>
      </c>
      <c r="C838" s="2" t="s">
        <v>2753</v>
      </c>
      <c r="D838" s="2" t="s">
        <v>2754</v>
      </c>
      <c r="E838" s="2" t="s">
        <v>13</v>
      </c>
      <c r="F838" s="2">
        <v>2020</v>
      </c>
      <c r="G838" s="3">
        <v>44061</v>
      </c>
      <c r="H838" s="2" t="s">
        <v>2755</v>
      </c>
      <c r="I838" s="2" t="s">
        <v>15</v>
      </c>
      <c r="J838" s="2" t="s">
        <v>2756</v>
      </c>
    </row>
    <row r="839" spans="1:10" x14ac:dyDescent="0.25">
      <c r="A839" s="2" t="s">
        <v>10</v>
      </c>
      <c r="B839" s="2" t="str">
        <f>"9781260453812"</f>
        <v>9781260453812</v>
      </c>
      <c r="C839" s="2" t="s">
        <v>2757</v>
      </c>
      <c r="D839" s="2" t="s">
        <v>2062</v>
      </c>
      <c r="E839" s="2" t="s">
        <v>13</v>
      </c>
      <c r="F839" s="2">
        <v>2020</v>
      </c>
      <c r="G839" s="3">
        <v>44005</v>
      </c>
      <c r="H839" s="2" t="s">
        <v>1881</v>
      </c>
      <c r="I839" s="2" t="s">
        <v>15</v>
      </c>
      <c r="J839" s="2" t="s">
        <v>2758</v>
      </c>
    </row>
    <row r="840" spans="1:10" x14ac:dyDescent="0.25">
      <c r="A840" s="2" t="s">
        <v>10</v>
      </c>
      <c r="B840" s="2" t="str">
        <f>"9781260458916"</f>
        <v>9781260458916</v>
      </c>
      <c r="C840" s="2" t="s">
        <v>2759</v>
      </c>
      <c r="D840" s="2" t="s">
        <v>2760</v>
      </c>
      <c r="E840" s="2" t="s">
        <v>13</v>
      </c>
      <c r="F840" s="2">
        <v>2020</v>
      </c>
      <c r="G840" s="3">
        <v>44126</v>
      </c>
      <c r="H840" s="2" t="s">
        <v>2761</v>
      </c>
      <c r="I840" s="2" t="s">
        <v>15</v>
      </c>
      <c r="J840" s="2" t="s">
        <v>2762</v>
      </c>
    </row>
    <row r="841" spans="1:10" x14ac:dyDescent="0.25">
      <c r="A841" s="2" t="s">
        <v>10</v>
      </c>
      <c r="B841" s="2" t="str">
        <f>"9781260461831"</f>
        <v>9781260461831</v>
      </c>
      <c r="C841" s="2" t="s">
        <v>2763</v>
      </c>
      <c r="D841" s="2" t="s">
        <v>2764</v>
      </c>
      <c r="E841" s="2" t="s">
        <v>13</v>
      </c>
      <c r="F841" s="2">
        <v>2021</v>
      </c>
      <c r="G841" s="3">
        <v>44158</v>
      </c>
      <c r="H841" s="2" t="s">
        <v>2765</v>
      </c>
      <c r="I841" s="2" t="s">
        <v>15</v>
      </c>
      <c r="J841" s="2" t="s">
        <v>2766</v>
      </c>
    </row>
    <row r="842" spans="1:10" x14ac:dyDescent="0.25">
      <c r="A842" s="2" t="s">
        <v>10</v>
      </c>
      <c r="B842" s="2" t="str">
        <f>"9781260457223"</f>
        <v>9781260457223</v>
      </c>
      <c r="C842" s="2" t="s">
        <v>2767</v>
      </c>
      <c r="D842" s="2" t="s">
        <v>2051</v>
      </c>
      <c r="E842" s="2" t="s">
        <v>13</v>
      </c>
      <c r="F842" s="2">
        <v>2020</v>
      </c>
      <c r="G842" s="3">
        <v>44162</v>
      </c>
      <c r="H842" s="2" t="s">
        <v>485</v>
      </c>
      <c r="I842" s="2" t="s">
        <v>15</v>
      </c>
      <c r="J842" s="2" t="s">
        <v>2768</v>
      </c>
    </row>
    <row r="843" spans="1:10" x14ac:dyDescent="0.25">
      <c r="A843" s="2" t="s">
        <v>10</v>
      </c>
      <c r="B843" s="2" t="str">
        <f>"9781260461503"</f>
        <v>9781260461503</v>
      </c>
      <c r="C843" s="2" t="s">
        <v>2769</v>
      </c>
      <c r="D843" s="2" t="s">
        <v>2770</v>
      </c>
      <c r="E843" s="2" t="s">
        <v>13</v>
      </c>
      <c r="F843" s="2">
        <v>2021</v>
      </c>
      <c r="G843" s="3">
        <v>44180</v>
      </c>
      <c r="H843" s="2" t="s">
        <v>2771</v>
      </c>
      <c r="I843" s="2" t="s">
        <v>15</v>
      </c>
      <c r="J843" s="2" t="s">
        <v>2772</v>
      </c>
    </row>
    <row r="844" spans="1:10" x14ac:dyDescent="0.25">
      <c r="A844" s="2" t="s">
        <v>10</v>
      </c>
      <c r="B844" s="2" t="str">
        <f>"9781260461527"</f>
        <v>9781260461527</v>
      </c>
      <c r="C844" s="2" t="s">
        <v>2773</v>
      </c>
      <c r="D844" s="2" t="s">
        <v>2770</v>
      </c>
      <c r="E844" s="2" t="s">
        <v>13</v>
      </c>
      <c r="F844" s="2">
        <v>2021</v>
      </c>
      <c r="G844" s="3">
        <v>44180</v>
      </c>
      <c r="H844" s="2" t="s">
        <v>1718</v>
      </c>
      <c r="I844" s="2" t="s">
        <v>15</v>
      </c>
      <c r="J844" s="2" t="s">
        <v>2774</v>
      </c>
    </row>
    <row r="845" spans="1:10" x14ac:dyDescent="0.25">
      <c r="A845" s="2" t="s">
        <v>10</v>
      </c>
      <c r="B845" s="2" t="str">
        <f>"9781260460353"</f>
        <v>9781260460353</v>
      </c>
      <c r="C845" s="2" t="s">
        <v>2775</v>
      </c>
      <c r="D845" s="2" t="s">
        <v>2776</v>
      </c>
      <c r="E845" s="2" t="s">
        <v>13</v>
      </c>
      <c r="F845" s="2">
        <v>2021</v>
      </c>
      <c r="G845" s="3">
        <v>44180</v>
      </c>
      <c r="H845" s="2" t="s">
        <v>2777</v>
      </c>
      <c r="I845" s="2" t="s">
        <v>15</v>
      </c>
      <c r="J845" s="2" t="s">
        <v>2778</v>
      </c>
    </row>
    <row r="846" spans="1:10" x14ac:dyDescent="0.25">
      <c r="A846" s="2" t="s">
        <v>10</v>
      </c>
      <c r="B846" s="2" t="str">
        <f>"9781260456424"</f>
        <v>9781260456424</v>
      </c>
      <c r="C846" s="2" t="s">
        <v>2779</v>
      </c>
      <c r="D846" s="2" t="s">
        <v>799</v>
      </c>
      <c r="E846" s="2" t="s">
        <v>13</v>
      </c>
      <c r="F846" s="2">
        <v>2021</v>
      </c>
      <c r="G846" s="3">
        <v>44180</v>
      </c>
      <c r="H846" s="2" t="s">
        <v>2780</v>
      </c>
      <c r="I846" s="2" t="s">
        <v>15</v>
      </c>
      <c r="J846" s="2" t="s">
        <v>2781</v>
      </c>
    </row>
    <row r="847" spans="1:10" x14ac:dyDescent="0.25">
      <c r="A847" s="2" t="s">
        <v>10</v>
      </c>
      <c r="B847" s="2" t="str">
        <f>"9780071818698"</f>
        <v>9780071818698</v>
      </c>
      <c r="C847" s="2" t="s">
        <v>2782</v>
      </c>
      <c r="D847" s="2" t="s">
        <v>2521</v>
      </c>
      <c r="E847" s="2" t="s">
        <v>13</v>
      </c>
      <c r="F847" s="2">
        <v>2014</v>
      </c>
      <c r="G847" s="3">
        <v>44183</v>
      </c>
      <c r="H847" s="2" t="s">
        <v>60</v>
      </c>
      <c r="I847" s="2" t="s">
        <v>15</v>
      </c>
      <c r="J847" s="2" t="s">
        <v>2783</v>
      </c>
    </row>
    <row r="848" spans="1:10" x14ac:dyDescent="0.25">
      <c r="A848" s="2" t="s">
        <v>10</v>
      </c>
      <c r="B848" s="2" t="str">
        <f>"9781260462883"</f>
        <v>9781260462883</v>
      </c>
      <c r="C848" s="2" t="s">
        <v>2784</v>
      </c>
      <c r="D848" s="2" t="s">
        <v>870</v>
      </c>
      <c r="E848" s="2" t="s">
        <v>13</v>
      </c>
      <c r="F848" s="2">
        <v>2021</v>
      </c>
      <c r="G848" s="3">
        <v>44224</v>
      </c>
      <c r="H848" s="2" t="s">
        <v>393</v>
      </c>
      <c r="I848" s="2" t="s">
        <v>15</v>
      </c>
      <c r="J848" s="2" t="s">
        <v>2785</v>
      </c>
    </row>
    <row r="849" spans="1:10" x14ac:dyDescent="0.25">
      <c r="A849" s="2" t="s">
        <v>10</v>
      </c>
      <c r="B849" s="2" t="str">
        <f>"9781260461763"</f>
        <v>9781260461763</v>
      </c>
      <c r="C849" s="2" t="s">
        <v>2786</v>
      </c>
      <c r="D849" s="2" t="s">
        <v>2787</v>
      </c>
      <c r="E849" s="2" t="s">
        <v>13</v>
      </c>
      <c r="F849" s="2">
        <v>2021</v>
      </c>
      <c r="G849" s="3">
        <v>44224</v>
      </c>
      <c r="H849" s="2" t="s">
        <v>2788</v>
      </c>
      <c r="I849" s="2" t="s">
        <v>15</v>
      </c>
      <c r="J849" s="2" t="s">
        <v>2789</v>
      </c>
    </row>
    <row r="850" spans="1:10" x14ac:dyDescent="0.25">
      <c r="A850" s="2" t="s">
        <v>10</v>
      </c>
      <c r="B850" s="2" t="str">
        <f>"9781260458336"</f>
        <v>9781260458336</v>
      </c>
      <c r="C850" s="2" t="s">
        <v>2790</v>
      </c>
      <c r="D850" s="2" t="s">
        <v>2791</v>
      </c>
      <c r="E850" s="2" t="s">
        <v>13</v>
      </c>
      <c r="F850" s="2">
        <v>2021</v>
      </c>
      <c r="G850" s="3">
        <v>44224</v>
      </c>
      <c r="H850" s="2" t="s">
        <v>119</v>
      </c>
      <c r="I850" s="2" t="s">
        <v>15</v>
      </c>
      <c r="J850" s="2" t="s">
        <v>2792</v>
      </c>
    </row>
    <row r="851" spans="1:10" x14ac:dyDescent="0.25">
      <c r="A851" s="2" t="s">
        <v>10</v>
      </c>
      <c r="B851" s="2" t="str">
        <f>"9781260460537"</f>
        <v>9781260460537</v>
      </c>
      <c r="C851" s="2" t="s">
        <v>2793</v>
      </c>
      <c r="D851" s="2" t="s">
        <v>2794</v>
      </c>
      <c r="E851" s="2" t="s">
        <v>13</v>
      </c>
      <c r="F851" s="2">
        <v>2021</v>
      </c>
      <c r="G851" s="3">
        <v>44224</v>
      </c>
      <c r="H851" s="2" t="s">
        <v>2795</v>
      </c>
      <c r="I851" s="2" t="s">
        <v>15</v>
      </c>
      <c r="J851" s="2" t="s">
        <v>2796</v>
      </c>
    </row>
    <row r="852" spans="1:10" x14ac:dyDescent="0.25">
      <c r="A852" s="2" t="s">
        <v>10</v>
      </c>
      <c r="B852" s="2" t="str">
        <f>"9781260462845"</f>
        <v>9781260462845</v>
      </c>
      <c r="C852" s="2" t="s">
        <v>2797</v>
      </c>
      <c r="D852" s="2" t="s">
        <v>870</v>
      </c>
      <c r="E852" s="2" t="s">
        <v>13</v>
      </c>
      <c r="F852" s="2">
        <v>2021</v>
      </c>
      <c r="G852" s="3">
        <v>44252</v>
      </c>
      <c r="H852" s="2" t="s">
        <v>115</v>
      </c>
      <c r="I852" s="2" t="s">
        <v>15</v>
      </c>
      <c r="J852" s="2" t="s">
        <v>2798</v>
      </c>
    </row>
    <row r="853" spans="1:10" x14ac:dyDescent="0.25">
      <c r="A853" s="2" t="s">
        <v>10</v>
      </c>
      <c r="B853" s="2" t="str">
        <f>"9781260464078"</f>
        <v>9781260464078</v>
      </c>
      <c r="C853" s="2" t="s">
        <v>2799</v>
      </c>
      <c r="D853" s="2" t="s">
        <v>2800</v>
      </c>
      <c r="E853" s="2" t="s">
        <v>13</v>
      </c>
      <c r="F853" s="2">
        <v>2021</v>
      </c>
      <c r="G853" s="3">
        <v>44245</v>
      </c>
      <c r="H853" s="2" t="s">
        <v>2801</v>
      </c>
      <c r="I853" s="2" t="s">
        <v>15</v>
      </c>
      <c r="J853" s="2" t="s">
        <v>2802</v>
      </c>
    </row>
    <row r="854" spans="1:10" x14ac:dyDescent="0.25">
      <c r="A854" s="2" t="s">
        <v>10</v>
      </c>
      <c r="B854" s="2" t="str">
        <f>"9781260462869"</f>
        <v>9781260462869</v>
      </c>
      <c r="C854" s="2" t="s">
        <v>2803</v>
      </c>
      <c r="D854" s="2" t="s">
        <v>870</v>
      </c>
      <c r="E854" s="2" t="s">
        <v>13</v>
      </c>
      <c r="F854" s="2">
        <v>2021</v>
      </c>
      <c r="G854" s="3">
        <v>44257</v>
      </c>
      <c r="H854" s="2" t="s">
        <v>1398</v>
      </c>
      <c r="I854" s="2" t="s">
        <v>15</v>
      </c>
      <c r="J854" s="2" t="s">
        <v>2804</v>
      </c>
    </row>
    <row r="855" spans="1:10" x14ac:dyDescent="0.25">
      <c r="A855" s="2" t="s">
        <v>10</v>
      </c>
      <c r="B855" s="2" t="str">
        <f>"9781260464504"</f>
        <v>9781260464504</v>
      </c>
      <c r="C855" s="2" t="s">
        <v>2805</v>
      </c>
      <c r="D855" s="2" t="s">
        <v>2806</v>
      </c>
      <c r="E855" s="2" t="s">
        <v>13</v>
      </c>
      <c r="F855" s="2">
        <v>2021</v>
      </c>
      <c r="G855" s="3">
        <v>44246</v>
      </c>
      <c r="H855" s="2" t="s">
        <v>91</v>
      </c>
      <c r="I855" s="2" t="s">
        <v>15</v>
      </c>
      <c r="J855" s="2" t="s">
        <v>2807</v>
      </c>
    </row>
    <row r="856" spans="1:10" x14ac:dyDescent="0.25">
      <c r="A856" s="2" t="s">
        <v>10</v>
      </c>
      <c r="B856" s="2" t="str">
        <f>"9781260467420"</f>
        <v>9781260467420</v>
      </c>
      <c r="C856" s="2" t="s">
        <v>2808</v>
      </c>
      <c r="D856" s="2" t="s">
        <v>2809</v>
      </c>
      <c r="E856" s="2" t="s">
        <v>13</v>
      </c>
      <c r="F856" s="2">
        <v>2021</v>
      </c>
      <c r="G856" s="3">
        <v>44281</v>
      </c>
      <c r="H856" s="2" t="s">
        <v>2810</v>
      </c>
      <c r="I856" s="2" t="s">
        <v>15</v>
      </c>
      <c r="J856" s="2" t="s">
        <v>2811</v>
      </c>
    </row>
    <row r="857" spans="1:10" x14ac:dyDescent="0.25">
      <c r="A857" s="2" t="s">
        <v>10</v>
      </c>
      <c r="B857" s="2" t="str">
        <f>"9781260440447"</f>
        <v>9781260440447</v>
      </c>
      <c r="C857" s="2" t="s">
        <v>2812</v>
      </c>
      <c r="D857" s="2" t="s">
        <v>820</v>
      </c>
      <c r="E857" s="2" t="s">
        <v>13</v>
      </c>
      <c r="F857" s="2">
        <v>2021</v>
      </c>
      <c r="G857" s="3">
        <v>44281</v>
      </c>
      <c r="H857" s="2" t="s">
        <v>76</v>
      </c>
      <c r="I857" s="2" t="s">
        <v>15</v>
      </c>
      <c r="J857" s="2" t="s">
        <v>2813</v>
      </c>
    </row>
    <row r="858" spans="1:10" x14ac:dyDescent="0.25">
      <c r="A858" s="2" t="s">
        <v>10</v>
      </c>
      <c r="B858" s="2" t="str">
        <f>"9781260462296"</f>
        <v>9781260462296</v>
      </c>
      <c r="C858" s="2" t="s">
        <v>2814</v>
      </c>
      <c r="D858" s="2" t="s">
        <v>2815</v>
      </c>
      <c r="E858" s="2" t="s">
        <v>13</v>
      </c>
      <c r="F858" s="2">
        <v>2021</v>
      </c>
      <c r="G858" s="3">
        <v>44291</v>
      </c>
      <c r="H858" s="2" t="s">
        <v>2746</v>
      </c>
      <c r="I858" s="2" t="s">
        <v>15</v>
      </c>
      <c r="J858" s="2" t="s">
        <v>2816</v>
      </c>
    </row>
    <row r="859" spans="1:10" x14ac:dyDescent="0.25">
      <c r="A859" s="2" t="s">
        <v>10</v>
      </c>
      <c r="B859" s="2" t="str">
        <f>"9781260468922"</f>
        <v>9781260468922</v>
      </c>
      <c r="C859" s="2" t="s">
        <v>2817</v>
      </c>
      <c r="D859" s="2" t="s">
        <v>2818</v>
      </c>
      <c r="E859" s="2" t="s">
        <v>13</v>
      </c>
      <c r="F859" s="2">
        <v>2021</v>
      </c>
      <c r="G859" s="3">
        <v>44286</v>
      </c>
      <c r="H859" s="2" t="s">
        <v>2819</v>
      </c>
      <c r="I859" s="2" t="s">
        <v>15</v>
      </c>
      <c r="J859" s="2" t="s">
        <v>2820</v>
      </c>
    </row>
  </sheetData>
  <autoFilter ref="A1:J859">
    <filterColumn colId="8">
      <filters>
        <filter val="No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5"/>
  <sheetViews>
    <sheetView workbookViewId="0">
      <pane ySplit="1" topLeftCell="A2" activePane="bottomLeft" state="frozen"/>
      <selection pane="bottomLeft" activeCell="C10" sqref="C10"/>
    </sheetView>
  </sheetViews>
  <sheetFormatPr defaultRowHeight="15" x14ac:dyDescent="0.25"/>
  <cols>
    <col min="1" max="1" width="13.5703125" style="2" customWidth="1"/>
    <col min="2" max="2" width="17" style="2" customWidth="1"/>
    <col min="3" max="3" width="92.7109375" style="2" customWidth="1"/>
    <col min="4" max="4" width="55.28515625" style="2" customWidth="1"/>
    <col min="5" max="5" width="11.85546875" style="2" customWidth="1"/>
    <col min="6" max="6" width="9.140625" style="2"/>
    <col min="7" max="7" width="15.5703125" style="2" customWidth="1"/>
    <col min="8" max="8" width="10.42578125" style="2" customWidth="1"/>
    <col min="9" max="9" width="41.140625" style="2" customWidth="1"/>
    <col min="10" max="16384" width="9.140625" style="2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2821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x14ac:dyDescent="0.25">
      <c r="A2" s="2" t="s">
        <v>2822</v>
      </c>
      <c r="B2" s="2" t="str">
        <f>"V4768153299001"</f>
        <v>V4768153299001</v>
      </c>
      <c r="C2" s="2" t="s">
        <v>2823</v>
      </c>
      <c r="D2" s="2" t="s">
        <v>2172</v>
      </c>
      <c r="E2" s="2" t="s">
        <v>2824</v>
      </c>
      <c r="F2" s="2" t="s">
        <v>13</v>
      </c>
      <c r="H2" s="2">
        <v>2016</v>
      </c>
      <c r="I2" s="2" t="s">
        <v>2825</v>
      </c>
      <c r="J2" s="2" t="s">
        <v>15</v>
      </c>
      <c r="K2" s="2" t="s">
        <v>2826</v>
      </c>
    </row>
    <row r="3" spans="1:11" x14ac:dyDescent="0.25">
      <c r="A3" s="2" t="s">
        <v>2822</v>
      </c>
      <c r="B3" s="2" t="str">
        <f>"V4005352521001"</f>
        <v>V4005352521001</v>
      </c>
      <c r="C3" s="2" t="s">
        <v>2827</v>
      </c>
      <c r="D3" s="2" t="s">
        <v>1922</v>
      </c>
      <c r="E3" s="2" t="s">
        <v>2824</v>
      </c>
      <c r="F3" s="2" t="s">
        <v>13</v>
      </c>
      <c r="H3" s="2">
        <v>2014</v>
      </c>
      <c r="I3" s="2" t="s">
        <v>2828</v>
      </c>
      <c r="J3" s="2" t="s">
        <v>15</v>
      </c>
      <c r="K3" s="2" t="s">
        <v>2829</v>
      </c>
    </row>
    <row r="4" spans="1:11" x14ac:dyDescent="0.25">
      <c r="A4" s="2" t="s">
        <v>2822</v>
      </c>
      <c r="B4" s="2" t="str">
        <f>"V4005352532001"</f>
        <v>V4005352532001</v>
      </c>
      <c r="C4" s="2" t="s">
        <v>2830</v>
      </c>
      <c r="D4" s="2" t="s">
        <v>1922</v>
      </c>
      <c r="E4" s="2" t="s">
        <v>2824</v>
      </c>
      <c r="F4" s="2" t="s">
        <v>13</v>
      </c>
      <c r="H4" s="2">
        <v>2014</v>
      </c>
      <c r="I4" s="2" t="s">
        <v>2828</v>
      </c>
      <c r="J4" s="2" t="s">
        <v>15</v>
      </c>
      <c r="K4" s="2" t="s">
        <v>2831</v>
      </c>
    </row>
    <row r="5" spans="1:11" x14ac:dyDescent="0.25">
      <c r="A5" s="2" t="s">
        <v>2822</v>
      </c>
      <c r="B5" s="2" t="str">
        <f>"V4005352531001"</f>
        <v>V4005352531001</v>
      </c>
      <c r="C5" s="2" t="s">
        <v>2832</v>
      </c>
      <c r="D5" s="2" t="s">
        <v>1922</v>
      </c>
      <c r="E5" s="2" t="s">
        <v>2824</v>
      </c>
      <c r="F5" s="2" t="s">
        <v>13</v>
      </c>
      <c r="H5" s="2">
        <v>2014</v>
      </c>
      <c r="I5" s="2" t="s">
        <v>2828</v>
      </c>
      <c r="J5" s="2" t="s">
        <v>15</v>
      </c>
      <c r="K5" s="2" t="s">
        <v>2833</v>
      </c>
    </row>
    <row r="6" spans="1:11" x14ac:dyDescent="0.25">
      <c r="A6" s="2" t="s">
        <v>2822</v>
      </c>
      <c r="B6" s="2" t="str">
        <f>"V4005352529001"</f>
        <v>V4005352529001</v>
      </c>
      <c r="C6" s="2" t="s">
        <v>2834</v>
      </c>
      <c r="D6" s="2" t="s">
        <v>1922</v>
      </c>
      <c r="E6" s="2" t="s">
        <v>2824</v>
      </c>
      <c r="F6" s="2" t="s">
        <v>13</v>
      </c>
      <c r="H6" s="2">
        <v>2014</v>
      </c>
      <c r="I6" s="2" t="s">
        <v>2828</v>
      </c>
      <c r="J6" s="2" t="s">
        <v>15</v>
      </c>
      <c r="K6" s="2" t="s">
        <v>2835</v>
      </c>
    </row>
    <row r="7" spans="1:11" x14ac:dyDescent="0.25">
      <c r="A7" s="2" t="s">
        <v>2822</v>
      </c>
      <c r="B7" s="2" t="str">
        <f>"V4005352519001"</f>
        <v>V4005352519001</v>
      </c>
      <c r="C7" s="2" t="s">
        <v>2836</v>
      </c>
      <c r="D7" s="2" t="s">
        <v>1922</v>
      </c>
      <c r="E7" s="2" t="s">
        <v>2824</v>
      </c>
      <c r="F7" s="2" t="s">
        <v>13</v>
      </c>
      <c r="H7" s="2">
        <v>2014</v>
      </c>
      <c r="I7" s="2" t="s">
        <v>2828</v>
      </c>
      <c r="J7" s="2" t="s">
        <v>15</v>
      </c>
      <c r="K7" s="2" t="s">
        <v>2837</v>
      </c>
    </row>
    <row r="8" spans="1:11" x14ac:dyDescent="0.25">
      <c r="A8" s="2" t="s">
        <v>2822</v>
      </c>
      <c r="B8" s="2" t="str">
        <f>"V4005352530001"</f>
        <v>V4005352530001</v>
      </c>
      <c r="C8" s="2" t="s">
        <v>2838</v>
      </c>
      <c r="D8" s="2" t="s">
        <v>1922</v>
      </c>
      <c r="E8" s="2" t="s">
        <v>2824</v>
      </c>
      <c r="F8" s="2" t="s">
        <v>13</v>
      </c>
      <c r="H8" s="2">
        <v>2014</v>
      </c>
      <c r="I8" s="2" t="s">
        <v>2828</v>
      </c>
      <c r="J8" s="2" t="s">
        <v>15</v>
      </c>
      <c r="K8" s="2" t="s">
        <v>2839</v>
      </c>
    </row>
    <row r="9" spans="1:11" x14ac:dyDescent="0.25">
      <c r="A9" s="2" t="s">
        <v>2822</v>
      </c>
      <c r="B9" s="2" t="str">
        <f>"V4005352523001"</f>
        <v>V4005352523001</v>
      </c>
      <c r="C9" s="2" t="s">
        <v>2840</v>
      </c>
      <c r="D9" s="2" t="s">
        <v>1922</v>
      </c>
      <c r="E9" s="2" t="s">
        <v>2824</v>
      </c>
      <c r="F9" s="2" t="s">
        <v>13</v>
      </c>
      <c r="H9" s="2">
        <v>2014</v>
      </c>
      <c r="I9" s="2" t="s">
        <v>2828</v>
      </c>
      <c r="J9" s="2" t="s">
        <v>15</v>
      </c>
      <c r="K9" s="2" t="s">
        <v>2841</v>
      </c>
    </row>
    <row r="10" spans="1:11" x14ac:dyDescent="0.25">
      <c r="A10" s="2" t="s">
        <v>2822</v>
      </c>
      <c r="B10" s="2" t="str">
        <f>"V4005352528001"</f>
        <v>V4005352528001</v>
      </c>
      <c r="C10" s="2" t="s">
        <v>2842</v>
      </c>
      <c r="D10" s="2" t="s">
        <v>1922</v>
      </c>
      <c r="E10" s="2" t="s">
        <v>2824</v>
      </c>
      <c r="F10" s="2" t="s">
        <v>13</v>
      </c>
      <c r="H10" s="2">
        <v>2014</v>
      </c>
      <c r="I10" s="2" t="s">
        <v>2828</v>
      </c>
      <c r="J10" s="2" t="s">
        <v>15</v>
      </c>
      <c r="K10" s="2" t="s">
        <v>2843</v>
      </c>
    </row>
    <row r="11" spans="1:11" x14ac:dyDescent="0.25">
      <c r="A11" s="2" t="s">
        <v>2822</v>
      </c>
      <c r="B11" s="2" t="str">
        <f>"V4005352518001"</f>
        <v>V4005352518001</v>
      </c>
      <c r="C11" s="2" t="s">
        <v>2844</v>
      </c>
      <c r="D11" s="2" t="s">
        <v>1922</v>
      </c>
      <c r="E11" s="2" t="s">
        <v>2824</v>
      </c>
      <c r="F11" s="2" t="s">
        <v>13</v>
      </c>
      <c r="H11" s="2">
        <v>2014</v>
      </c>
      <c r="I11" s="2" t="s">
        <v>2828</v>
      </c>
      <c r="J11" s="2" t="s">
        <v>15</v>
      </c>
      <c r="K11" s="2" t="s">
        <v>2845</v>
      </c>
    </row>
    <row r="12" spans="1:11" x14ac:dyDescent="0.25">
      <c r="A12" s="2" t="s">
        <v>2822</v>
      </c>
      <c r="B12" s="2" t="str">
        <f>"V4005352522001"</f>
        <v>V4005352522001</v>
      </c>
      <c r="C12" s="2" t="s">
        <v>2846</v>
      </c>
      <c r="D12" s="2" t="s">
        <v>1922</v>
      </c>
      <c r="E12" s="2" t="s">
        <v>2824</v>
      </c>
      <c r="F12" s="2" t="s">
        <v>13</v>
      </c>
      <c r="H12" s="2">
        <v>2014</v>
      </c>
      <c r="I12" s="2" t="s">
        <v>2828</v>
      </c>
      <c r="J12" s="2" t="s">
        <v>15</v>
      </c>
      <c r="K12" s="2" t="s">
        <v>2847</v>
      </c>
    </row>
    <row r="13" spans="1:11" x14ac:dyDescent="0.25">
      <c r="A13" s="2" t="s">
        <v>2822</v>
      </c>
      <c r="B13" s="2" t="str">
        <f>"V4005352526001"</f>
        <v>V4005352526001</v>
      </c>
      <c r="C13" s="2" t="s">
        <v>2848</v>
      </c>
      <c r="D13" s="2" t="s">
        <v>1922</v>
      </c>
      <c r="E13" s="2" t="s">
        <v>2824</v>
      </c>
      <c r="F13" s="2" t="s">
        <v>13</v>
      </c>
      <c r="H13" s="2">
        <v>2014</v>
      </c>
      <c r="I13" s="2" t="s">
        <v>2828</v>
      </c>
      <c r="J13" s="2" t="s">
        <v>15</v>
      </c>
      <c r="K13" s="2" t="s">
        <v>2849</v>
      </c>
    </row>
    <row r="14" spans="1:11" x14ac:dyDescent="0.25">
      <c r="A14" s="2" t="s">
        <v>2822</v>
      </c>
      <c r="B14" s="2" t="str">
        <f>"V4005352520001"</f>
        <v>V4005352520001</v>
      </c>
      <c r="C14" s="2" t="s">
        <v>2850</v>
      </c>
      <c r="D14" s="2" t="s">
        <v>1922</v>
      </c>
      <c r="E14" s="2" t="s">
        <v>2824</v>
      </c>
      <c r="F14" s="2" t="s">
        <v>13</v>
      </c>
      <c r="H14" s="2">
        <v>2014</v>
      </c>
      <c r="I14" s="2" t="s">
        <v>2828</v>
      </c>
      <c r="J14" s="2" t="s">
        <v>15</v>
      </c>
      <c r="K14" s="2" t="s">
        <v>2851</v>
      </c>
    </row>
    <row r="15" spans="1:11" x14ac:dyDescent="0.25">
      <c r="A15" s="2" t="s">
        <v>2822</v>
      </c>
      <c r="B15" s="2" t="str">
        <f>"V4005352525001"</f>
        <v>V4005352525001</v>
      </c>
      <c r="C15" s="2" t="s">
        <v>2852</v>
      </c>
      <c r="D15" s="2" t="s">
        <v>1922</v>
      </c>
      <c r="E15" s="2" t="s">
        <v>2824</v>
      </c>
      <c r="F15" s="2" t="s">
        <v>13</v>
      </c>
      <c r="H15" s="2">
        <v>2014</v>
      </c>
      <c r="I15" s="2" t="s">
        <v>2828</v>
      </c>
      <c r="J15" s="2" t="s">
        <v>15</v>
      </c>
      <c r="K15" s="2" t="s">
        <v>2853</v>
      </c>
    </row>
    <row r="16" spans="1:11" x14ac:dyDescent="0.25">
      <c r="A16" s="2" t="s">
        <v>2822</v>
      </c>
      <c r="B16" s="2" t="str">
        <f>"V4810699113001"</f>
        <v>V4810699113001</v>
      </c>
      <c r="C16" s="2" t="s">
        <v>2854</v>
      </c>
      <c r="D16" s="2" t="s">
        <v>2855</v>
      </c>
      <c r="E16" s="2" t="s">
        <v>2856</v>
      </c>
      <c r="F16" s="2" t="s">
        <v>13</v>
      </c>
      <c r="H16" s="2">
        <v>2016</v>
      </c>
      <c r="I16" s="2" t="s">
        <v>2857</v>
      </c>
      <c r="J16" s="2" t="s">
        <v>15</v>
      </c>
      <c r="K16" s="2" t="s">
        <v>2858</v>
      </c>
    </row>
    <row r="17" spans="1:11" x14ac:dyDescent="0.25">
      <c r="A17" s="2" t="s">
        <v>2822</v>
      </c>
      <c r="B17" s="2" t="str">
        <f>"V4810699114001"</f>
        <v>V4810699114001</v>
      </c>
      <c r="C17" s="2" t="s">
        <v>2859</v>
      </c>
      <c r="D17" s="2" t="s">
        <v>2855</v>
      </c>
      <c r="E17" s="2" t="s">
        <v>2856</v>
      </c>
      <c r="F17" s="2" t="s">
        <v>13</v>
      </c>
      <c r="H17" s="2">
        <v>2016</v>
      </c>
      <c r="I17" s="2" t="s">
        <v>2860</v>
      </c>
      <c r="J17" s="2" t="s">
        <v>15</v>
      </c>
      <c r="K17" s="2" t="s">
        <v>2861</v>
      </c>
    </row>
    <row r="18" spans="1:11" x14ac:dyDescent="0.25">
      <c r="A18" s="2" t="s">
        <v>2822</v>
      </c>
      <c r="B18" s="2" t="str">
        <f>"V4810703455001"</f>
        <v>V4810703455001</v>
      </c>
      <c r="C18" s="2" t="s">
        <v>2862</v>
      </c>
      <c r="D18" s="2" t="s">
        <v>2855</v>
      </c>
      <c r="E18" s="2" t="s">
        <v>2856</v>
      </c>
      <c r="F18" s="2" t="s">
        <v>13</v>
      </c>
      <c r="H18" s="2">
        <v>2015</v>
      </c>
      <c r="I18" s="2" t="s">
        <v>2863</v>
      </c>
      <c r="J18" s="2" t="s">
        <v>15</v>
      </c>
      <c r="K18" s="2" t="s">
        <v>2864</v>
      </c>
    </row>
    <row r="19" spans="1:11" x14ac:dyDescent="0.25">
      <c r="A19" s="2" t="s">
        <v>2822</v>
      </c>
      <c r="B19" s="2" t="str">
        <f>"V4810674913001"</f>
        <v>V4810674913001</v>
      </c>
      <c r="C19" s="2" t="s">
        <v>2865</v>
      </c>
      <c r="D19" s="2" t="s">
        <v>2855</v>
      </c>
      <c r="E19" s="2" t="s">
        <v>2856</v>
      </c>
      <c r="F19" s="2" t="s">
        <v>13</v>
      </c>
      <c r="H19" s="2">
        <v>2015</v>
      </c>
      <c r="I19" s="2" t="s">
        <v>2866</v>
      </c>
      <c r="J19" s="2" t="s">
        <v>15</v>
      </c>
      <c r="K19" s="2" t="s">
        <v>2867</v>
      </c>
    </row>
    <row r="20" spans="1:11" x14ac:dyDescent="0.25">
      <c r="A20" s="2" t="s">
        <v>2822</v>
      </c>
      <c r="B20" s="2" t="str">
        <f>"V4810703456001"</f>
        <v>V4810703456001</v>
      </c>
      <c r="C20" s="2" t="s">
        <v>2868</v>
      </c>
      <c r="D20" s="2" t="s">
        <v>2855</v>
      </c>
      <c r="E20" s="2" t="s">
        <v>2856</v>
      </c>
      <c r="F20" s="2" t="s">
        <v>13</v>
      </c>
      <c r="H20" s="2">
        <v>2016</v>
      </c>
      <c r="I20" s="2" t="s">
        <v>2869</v>
      </c>
      <c r="J20" s="2" t="s">
        <v>15</v>
      </c>
      <c r="K20" s="2" t="s">
        <v>2870</v>
      </c>
    </row>
    <row r="21" spans="1:11" x14ac:dyDescent="0.25">
      <c r="A21" s="2" t="s">
        <v>2822</v>
      </c>
      <c r="B21" s="2" t="str">
        <f>"V4810703454001"</f>
        <v>V4810703454001</v>
      </c>
      <c r="C21" s="2" t="s">
        <v>2871</v>
      </c>
      <c r="D21" s="2" t="s">
        <v>2855</v>
      </c>
      <c r="E21" s="2" t="s">
        <v>2872</v>
      </c>
      <c r="F21" s="2" t="s">
        <v>13</v>
      </c>
      <c r="H21" s="2">
        <v>2016</v>
      </c>
      <c r="I21" s="2" t="s">
        <v>2873</v>
      </c>
      <c r="J21" s="2" t="s">
        <v>15</v>
      </c>
      <c r="K21" s="2" t="s">
        <v>2874</v>
      </c>
    </row>
    <row r="22" spans="1:11" x14ac:dyDescent="0.25">
      <c r="A22" s="2" t="s">
        <v>2822</v>
      </c>
      <c r="B22" s="2" t="str">
        <f>"V4810699110001"</f>
        <v>V4810699110001</v>
      </c>
      <c r="C22" s="2" t="s">
        <v>2875</v>
      </c>
      <c r="D22" s="2" t="s">
        <v>2855</v>
      </c>
      <c r="E22" s="2" t="s">
        <v>2872</v>
      </c>
      <c r="F22" s="2" t="s">
        <v>13</v>
      </c>
      <c r="H22" s="2">
        <v>2016</v>
      </c>
      <c r="I22" s="2" t="s">
        <v>2876</v>
      </c>
      <c r="J22" s="2" t="s">
        <v>15</v>
      </c>
      <c r="K22" s="2" t="s">
        <v>2877</v>
      </c>
    </row>
    <row r="23" spans="1:11" x14ac:dyDescent="0.25">
      <c r="A23" s="2" t="s">
        <v>2822</v>
      </c>
      <c r="B23" s="2" t="str">
        <f>"V4810699111001"</f>
        <v>V4810699111001</v>
      </c>
      <c r="C23" s="2" t="s">
        <v>2878</v>
      </c>
      <c r="D23" s="2" t="s">
        <v>2855</v>
      </c>
      <c r="E23" s="2" t="s">
        <v>2872</v>
      </c>
      <c r="F23" s="2" t="s">
        <v>13</v>
      </c>
      <c r="H23" s="2">
        <v>2016</v>
      </c>
      <c r="I23" s="2" t="s">
        <v>2879</v>
      </c>
      <c r="J23" s="2" t="s">
        <v>15</v>
      </c>
      <c r="K23" s="2" t="s">
        <v>2880</v>
      </c>
    </row>
    <row r="24" spans="1:11" x14ac:dyDescent="0.25">
      <c r="A24" s="2" t="s">
        <v>2822</v>
      </c>
      <c r="B24" s="2" t="str">
        <f>"V4810699112001"</f>
        <v>V4810699112001</v>
      </c>
      <c r="C24" s="2" t="s">
        <v>2881</v>
      </c>
      <c r="D24" s="2" t="s">
        <v>2855</v>
      </c>
      <c r="E24" s="2" t="s">
        <v>2872</v>
      </c>
      <c r="F24" s="2" t="s">
        <v>13</v>
      </c>
      <c r="H24" s="2">
        <v>2016</v>
      </c>
      <c r="I24" s="2" t="s">
        <v>2882</v>
      </c>
      <c r="J24" s="2" t="s">
        <v>15</v>
      </c>
      <c r="K24" s="2" t="s">
        <v>2883</v>
      </c>
    </row>
    <row r="25" spans="1:11" x14ac:dyDescent="0.25">
      <c r="A25" s="2" t="s">
        <v>2822</v>
      </c>
      <c r="B25" s="2" t="str">
        <f>"V4810703448001"</f>
        <v>V4810703448001</v>
      </c>
      <c r="C25" s="2" t="s">
        <v>2884</v>
      </c>
      <c r="D25" s="2" t="s">
        <v>2855</v>
      </c>
      <c r="E25" s="2" t="s">
        <v>2872</v>
      </c>
      <c r="F25" s="2" t="s">
        <v>13</v>
      </c>
      <c r="H25" s="2">
        <v>2016</v>
      </c>
      <c r="I25" s="2" t="s">
        <v>2885</v>
      </c>
      <c r="J25" s="2" t="s">
        <v>15</v>
      </c>
      <c r="K25" s="2" t="s">
        <v>2886</v>
      </c>
    </row>
    <row r="26" spans="1:11" x14ac:dyDescent="0.25">
      <c r="A26" s="2" t="s">
        <v>2822</v>
      </c>
      <c r="B26" s="2" t="str">
        <f>"V4810674916001"</f>
        <v>V4810674916001</v>
      </c>
      <c r="C26" s="2" t="s">
        <v>2887</v>
      </c>
      <c r="D26" s="2" t="s">
        <v>2855</v>
      </c>
      <c r="E26" s="2" t="s">
        <v>2872</v>
      </c>
      <c r="F26" s="2" t="s">
        <v>13</v>
      </c>
      <c r="H26" s="2">
        <v>2016</v>
      </c>
      <c r="I26" s="2" t="s">
        <v>2888</v>
      </c>
      <c r="J26" s="2" t="s">
        <v>15</v>
      </c>
      <c r="K26" s="2" t="s">
        <v>2889</v>
      </c>
    </row>
    <row r="27" spans="1:11" x14ac:dyDescent="0.25">
      <c r="A27" s="2" t="s">
        <v>2822</v>
      </c>
      <c r="B27" s="2" t="str">
        <f>"V4810703451001"</f>
        <v>V4810703451001</v>
      </c>
      <c r="C27" s="2" t="s">
        <v>2890</v>
      </c>
      <c r="D27" s="2" t="s">
        <v>2855</v>
      </c>
      <c r="E27" s="2" t="s">
        <v>2872</v>
      </c>
      <c r="F27" s="2" t="s">
        <v>13</v>
      </c>
      <c r="H27" s="2">
        <v>2016</v>
      </c>
      <c r="I27" s="2" t="s">
        <v>2891</v>
      </c>
      <c r="J27" s="2" t="s">
        <v>15</v>
      </c>
      <c r="K27" s="2" t="s">
        <v>2892</v>
      </c>
    </row>
    <row r="28" spans="1:11" x14ac:dyDescent="0.25">
      <c r="A28" s="2" t="s">
        <v>2822</v>
      </c>
      <c r="B28" s="2" t="str">
        <f>"V4810703449001"</f>
        <v>V4810703449001</v>
      </c>
      <c r="C28" s="2" t="s">
        <v>2893</v>
      </c>
      <c r="D28" s="2" t="s">
        <v>2855</v>
      </c>
      <c r="E28" s="2" t="s">
        <v>2872</v>
      </c>
      <c r="F28" s="2" t="s">
        <v>13</v>
      </c>
      <c r="H28" s="2">
        <v>2016</v>
      </c>
      <c r="I28" s="2" t="s">
        <v>2894</v>
      </c>
      <c r="J28" s="2" t="s">
        <v>15</v>
      </c>
      <c r="K28" s="2" t="s">
        <v>2895</v>
      </c>
    </row>
    <row r="29" spans="1:11" x14ac:dyDescent="0.25">
      <c r="A29" s="2" t="s">
        <v>2822</v>
      </c>
      <c r="B29" s="2" t="str">
        <f>"V4810655019001"</f>
        <v>V4810655019001</v>
      </c>
      <c r="C29" s="2" t="s">
        <v>2896</v>
      </c>
      <c r="D29" s="2" t="s">
        <v>2855</v>
      </c>
      <c r="E29" s="2" t="s">
        <v>2872</v>
      </c>
      <c r="F29" s="2" t="s">
        <v>13</v>
      </c>
      <c r="H29" s="2">
        <v>2016</v>
      </c>
      <c r="I29" s="2" t="s">
        <v>2897</v>
      </c>
      <c r="J29" s="2" t="s">
        <v>15</v>
      </c>
      <c r="K29" s="2" t="s">
        <v>2898</v>
      </c>
    </row>
    <row r="30" spans="1:11" x14ac:dyDescent="0.25">
      <c r="A30" s="2" t="s">
        <v>2822</v>
      </c>
      <c r="B30" s="2" t="str">
        <f>"V4810674917001"</f>
        <v>V4810674917001</v>
      </c>
      <c r="C30" s="2" t="s">
        <v>2899</v>
      </c>
      <c r="D30" s="2" t="s">
        <v>2855</v>
      </c>
      <c r="E30" s="2" t="s">
        <v>2872</v>
      </c>
      <c r="F30" s="2" t="s">
        <v>13</v>
      </c>
      <c r="H30" s="2">
        <v>2016</v>
      </c>
      <c r="I30" s="2" t="s">
        <v>2900</v>
      </c>
      <c r="J30" s="2" t="s">
        <v>15</v>
      </c>
      <c r="K30" s="2" t="s">
        <v>2901</v>
      </c>
    </row>
    <row r="31" spans="1:11" x14ac:dyDescent="0.25">
      <c r="A31" s="2" t="s">
        <v>2822</v>
      </c>
      <c r="B31" s="2" t="str">
        <f>"V1931803550001"</f>
        <v>V1931803550001</v>
      </c>
      <c r="C31" s="2" t="s">
        <v>2902</v>
      </c>
      <c r="D31" s="2" t="s">
        <v>1592</v>
      </c>
      <c r="E31" s="2" t="s">
        <v>2903</v>
      </c>
      <c r="F31" s="2" t="s">
        <v>13</v>
      </c>
      <c r="H31" s="2">
        <v>2012</v>
      </c>
      <c r="I31" s="2" t="s">
        <v>2904</v>
      </c>
      <c r="J31" s="2" t="s">
        <v>15</v>
      </c>
      <c r="K31" s="2" t="s">
        <v>2905</v>
      </c>
    </row>
    <row r="32" spans="1:11" x14ac:dyDescent="0.25">
      <c r="A32" s="2" t="s">
        <v>2822</v>
      </c>
      <c r="B32" s="2" t="str">
        <f>"V1931831088001"</f>
        <v>V1931831088001</v>
      </c>
      <c r="C32" s="2" t="s">
        <v>2906</v>
      </c>
      <c r="D32" s="2" t="s">
        <v>1592</v>
      </c>
      <c r="E32" s="2" t="s">
        <v>2903</v>
      </c>
      <c r="F32" s="2" t="s">
        <v>13</v>
      </c>
      <c r="H32" s="2">
        <v>2012</v>
      </c>
      <c r="I32" s="2" t="s">
        <v>2907</v>
      </c>
      <c r="J32" s="2" t="s">
        <v>15</v>
      </c>
      <c r="K32" s="2" t="s">
        <v>2908</v>
      </c>
    </row>
    <row r="33" spans="1:11" x14ac:dyDescent="0.25">
      <c r="A33" s="2" t="s">
        <v>2822</v>
      </c>
      <c r="B33" s="2" t="str">
        <f>"V2433975072001"</f>
        <v>V2433975072001</v>
      </c>
      <c r="C33" s="2" t="s">
        <v>2909</v>
      </c>
      <c r="D33" s="2" t="s">
        <v>2910</v>
      </c>
      <c r="E33" s="2" t="s">
        <v>2911</v>
      </c>
      <c r="F33" s="2" t="s">
        <v>13</v>
      </c>
      <c r="H33" s="2">
        <v>2013</v>
      </c>
      <c r="I33" s="2" t="s">
        <v>2912</v>
      </c>
      <c r="J33" s="2" t="s">
        <v>15</v>
      </c>
      <c r="K33" s="2" t="s">
        <v>2913</v>
      </c>
    </row>
    <row r="34" spans="1:11" x14ac:dyDescent="0.25">
      <c r="A34" s="2" t="s">
        <v>2822</v>
      </c>
      <c r="B34" s="2" t="str">
        <f>"V4199138213001"</f>
        <v>V4199138213001</v>
      </c>
      <c r="C34" s="2" t="s">
        <v>2914</v>
      </c>
      <c r="D34" s="2" t="s">
        <v>1263</v>
      </c>
      <c r="E34" s="2" t="s">
        <v>2915</v>
      </c>
      <c r="F34" s="2" t="s">
        <v>13</v>
      </c>
      <c r="H34" s="2">
        <v>2015</v>
      </c>
      <c r="I34" s="2" t="s">
        <v>2916</v>
      </c>
      <c r="J34" s="2" t="s">
        <v>15</v>
      </c>
      <c r="K34" s="2" t="s">
        <v>2917</v>
      </c>
    </row>
    <row r="35" spans="1:11" x14ac:dyDescent="0.25">
      <c r="A35" s="2" t="s">
        <v>2822</v>
      </c>
      <c r="B35" s="2" t="str">
        <f>"V4199176147001"</f>
        <v>V4199176147001</v>
      </c>
      <c r="C35" s="2" t="s">
        <v>2918</v>
      </c>
      <c r="D35" s="2" t="s">
        <v>1263</v>
      </c>
      <c r="E35" s="2" t="s">
        <v>2915</v>
      </c>
      <c r="F35" s="2" t="s">
        <v>13</v>
      </c>
      <c r="H35" s="2">
        <v>2015</v>
      </c>
      <c r="I35" s="2" t="s">
        <v>2919</v>
      </c>
      <c r="J35" s="2" t="s">
        <v>15</v>
      </c>
      <c r="K35" s="2" t="s">
        <v>2920</v>
      </c>
    </row>
    <row r="36" spans="1:11" x14ac:dyDescent="0.25">
      <c r="A36" s="2" t="s">
        <v>2822</v>
      </c>
      <c r="B36" s="2" t="str">
        <f>"V4199176151001"</f>
        <v>V4199176151001</v>
      </c>
      <c r="C36" s="2" t="s">
        <v>2921</v>
      </c>
      <c r="D36" s="2" t="s">
        <v>1263</v>
      </c>
      <c r="E36" s="2" t="s">
        <v>2915</v>
      </c>
      <c r="F36" s="2" t="s">
        <v>13</v>
      </c>
      <c r="H36" s="2">
        <v>2015</v>
      </c>
      <c r="I36" s="2" t="s">
        <v>2922</v>
      </c>
      <c r="J36" s="2" t="s">
        <v>15</v>
      </c>
      <c r="K36" s="2" t="s">
        <v>2923</v>
      </c>
    </row>
    <row r="37" spans="1:11" x14ac:dyDescent="0.25">
      <c r="A37" s="2" t="s">
        <v>2822</v>
      </c>
      <c r="B37" s="2" t="str">
        <f>"V4199201568001"</f>
        <v>V4199201568001</v>
      </c>
      <c r="C37" s="2" t="s">
        <v>2924</v>
      </c>
      <c r="D37" s="2" t="s">
        <v>1263</v>
      </c>
      <c r="E37" s="2" t="s">
        <v>2915</v>
      </c>
      <c r="F37" s="2" t="s">
        <v>13</v>
      </c>
      <c r="H37" s="2">
        <v>2015</v>
      </c>
      <c r="I37" s="2" t="s">
        <v>2925</v>
      </c>
      <c r="J37" s="2" t="s">
        <v>15</v>
      </c>
      <c r="K37" s="2" t="s">
        <v>2926</v>
      </c>
    </row>
    <row r="38" spans="1:11" x14ac:dyDescent="0.25">
      <c r="A38" s="2" t="s">
        <v>2822</v>
      </c>
      <c r="B38" s="2" t="str">
        <f>"V4160983798001"</f>
        <v>V4160983798001</v>
      </c>
      <c r="C38" s="2" t="s">
        <v>2927</v>
      </c>
      <c r="D38" s="2" t="s">
        <v>2928</v>
      </c>
      <c r="E38" s="2" t="s">
        <v>2929</v>
      </c>
      <c r="F38" s="2" t="s">
        <v>13</v>
      </c>
      <c r="H38" s="2">
        <v>2015</v>
      </c>
      <c r="I38" s="2" t="s">
        <v>2930</v>
      </c>
      <c r="J38" s="2" t="s">
        <v>15</v>
      </c>
      <c r="K38" s="2" t="s">
        <v>2931</v>
      </c>
    </row>
    <row r="39" spans="1:11" x14ac:dyDescent="0.25">
      <c r="A39" s="2" t="s">
        <v>2822</v>
      </c>
      <c r="B39" s="2" t="str">
        <f>"V4398272085001"</f>
        <v>V4398272085001</v>
      </c>
      <c r="C39" s="2" t="s">
        <v>2932</v>
      </c>
      <c r="D39" s="2" t="s">
        <v>2928</v>
      </c>
      <c r="E39" s="2" t="s">
        <v>2929</v>
      </c>
      <c r="F39" s="2" t="s">
        <v>13</v>
      </c>
      <c r="H39" s="2">
        <v>2015</v>
      </c>
      <c r="I39" s="2" t="s">
        <v>2933</v>
      </c>
      <c r="J39" s="2" t="s">
        <v>15</v>
      </c>
      <c r="K39" s="2" t="s">
        <v>2934</v>
      </c>
    </row>
    <row r="40" spans="1:11" x14ac:dyDescent="0.25">
      <c r="A40" s="2" t="s">
        <v>2822</v>
      </c>
      <c r="B40" s="2" t="str">
        <f>"V4160983797001"</f>
        <v>V4160983797001</v>
      </c>
      <c r="C40" s="2" t="s">
        <v>2935</v>
      </c>
      <c r="D40" s="2" t="s">
        <v>2928</v>
      </c>
      <c r="E40" s="2" t="s">
        <v>2929</v>
      </c>
      <c r="F40" s="2" t="s">
        <v>13</v>
      </c>
      <c r="H40" s="2">
        <v>2015</v>
      </c>
      <c r="I40" s="2" t="s">
        <v>2936</v>
      </c>
      <c r="J40" s="2" t="s">
        <v>15</v>
      </c>
      <c r="K40" s="2" t="s">
        <v>2937</v>
      </c>
    </row>
    <row r="41" spans="1:11" x14ac:dyDescent="0.25">
      <c r="A41" s="2" t="s">
        <v>2822</v>
      </c>
      <c r="B41" s="2" t="str">
        <f>"V4160983796001"</f>
        <v>V4160983796001</v>
      </c>
      <c r="C41" s="2" t="s">
        <v>2938</v>
      </c>
      <c r="D41" s="2" t="s">
        <v>2928</v>
      </c>
      <c r="E41" s="2" t="s">
        <v>2929</v>
      </c>
      <c r="F41" s="2" t="s">
        <v>13</v>
      </c>
      <c r="H41" s="2">
        <v>2015</v>
      </c>
      <c r="I41" s="2" t="s">
        <v>2939</v>
      </c>
      <c r="J41" s="2" t="s">
        <v>15</v>
      </c>
      <c r="K41" s="2" t="s">
        <v>2940</v>
      </c>
    </row>
    <row r="42" spans="1:11" x14ac:dyDescent="0.25">
      <c r="A42" s="2" t="s">
        <v>2822</v>
      </c>
      <c r="B42" s="2" t="str">
        <f>"V4160983802001"</f>
        <v>V4160983802001</v>
      </c>
      <c r="C42" s="2" t="s">
        <v>2941</v>
      </c>
      <c r="D42" s="2" t="s">
        <v>2928</v>
      </c>
      <c r="E42" s="2" t="s">
        <v>2929</v>
      </c>
      <c r="F42" s="2" t="s">
        <v>13</v>
      </c>
      <c r="H42" s="2">
        <v>2015</v>
      </c>
      <c r="I42" s="2" t="s">
        <v>2942</v>
      </c>
      <c r="J42" s="2" t="s">
        <v>15</v>
      </c>
      <c r="K42" s="2" t="s">
        <v>2943</v>
      </c>
    </row>
    <row r="43" spans="1:11" x14ac:dyDescent="0.25">
      <c r="A43" s="2" t="s">
        <v>2822</v>
      </c>
      <c r="B43" s="2" t="str">
        <f>"V4398262822001"</f>
        <v>V4398262822001</v>
      </c>
      <c r="C43" s="2" t="s">
        <v>2944</v>
      </c>
      <c r="D43" s="2" t="s">
        <v>2928</v>
      </c>
      <c r="E43" s="2" t="s">
        <v>2929</v>
      </c>
      <c r="F43" s="2" t="s">
        <v>13</v>
      </c>
      <c r="H43" s="2">
        <v>2015</v>
      </c>
      <c r="I43" s="2" t="s">
        <v>2945</v>
      </c>
      <c r="J43" s="2" t="s">
        <v>15</v>
      </c>
      <c r="K43" s="2" t="s">
        <v>2946</v>
      </c>
    </row>
    <row r="44" spans="1:11" x14ac:dyDescent="0.25">
      <c r="A44" s="2" t="s">
        <v>2822</v>
      </c>
      <c r="B44" s="2" t="str">
        <f>"V4160983786001"</f>
        <v>V4160983786001</v>
      </c>
      <c r="C44" s="2" t="s">
        <v>2947</v>
      </c>
      <c r="D44" s="2" t="s">
        <v>2928</v>
      </c>
      <c r="E44" s="2" t="s">
        <v>2929</v>
      </c>
      <c r="F44" s="2" t="s">
        <v>13</v>
      </c>
      <c r="H44" s="2">
        <v>2015</v>
      </c>
      <c r="I44" s="2" t="s">
        <v>2948</v>
      </c>
      <c r="J44" s="2" t="s">
        <v>15</v>
      </c>
      <c r="K44" s="2" t="s">
        <v>2949</v>
      </c>
    </row>
    <row r="45" spans="1:11" x14ac:dyDescent="0.25">
      <c r="A45" s="2" t="s">
        <v>2822</v>
      </c>
      <c r="B45" s="2" t="str">
        <f>"V4160983787001"</f>
        <v>V4160983787001</v>
      </c>
      <c r="C45" s="2" t="s">
        <v>2950</v>
      </c>
      <c r="D45" s="2" t="s">
        <v>2928</v>
      </c>
      <c r="E45" s="2" t="s">
        <v>2929</v>
      </c>
      <c r="F45" s="2" t="s">
        <v>13</v>
      </c>
      <c r="H45" s="2">
        <v>2015</v>
      </c>
      <c r="I45" s="2" t="s">
        <v>2951</v>
      </c>
      <c r="J45" s="2" t="s">
        <v>15</v>
      </c>
      <c r="K45" s="2" t="s">
        <v>2952</v>
      </c>
    </row>
    <row r="46" spans="1:11" x14ac:dyDescent="0.25">
      <c r="A46" s="2" t="s">
        <v>2822</v>
      </c>
      <c r="B46" s="2" t="str">
        <f>"V4398329017001"</f>
        <v>V4398329017001</v>
      </c>
      <c r="C46" s="2" t="s">
        <v>2953</v>
      </c>
      <c r="D46" s="2" t="s">
        <v>2928</v>
      </c>
      <c r="E46" s="2" t="s">
        <v>2929</v>
      </c>
      <c r="F46" s="2" t="s">
        <v>13</v>
      </c>
      <c r="H46" s="2">
        <v>2015</v>
      </c>
      <c r="I46" s="2" t="s">
        <v>2954</v>
      </c>
      <c r="J46" s="2" t="s">
        <v>15</v>
      </c>
      <c r="K46" s="2" t="s">
        <v>2955</v>
      </c>
    </row>
    <row r="47" spans="1:11" x14ac:dyDescent="0.25">
      <c r="A47" s="2" t="s">
        <v>2822</v>
      </c>
      <c r="B47" s="2" t="str">
        <f>"V4398262814001"</f>
        <v>V4398262814001</v>
      </c>
      <c r="C47" s="2" t="s">
        <v>2956</v>
      </c>
      <c r="D47" s="2" t="s">
        <v>2928</v>
      </c>
      <c r="E47" s="2" t="s">
        <v>2929</v>
      </c>
      <c r="F47" s="2" t="s">
        <v>13</v>
      </c>
      <c r="H47" s="2">
        <v>2015</v>
      </c>
      <c r="I47" s="2" t="s">
        <v>2957</v>
      </c>
      <c r="J47" s="2" t="s">
        <v>15</v>
      </c>
      <c r="K47" s="2" t="s">
        <v>2958</v>
      </c>
    </row>
    <row r="48" spans="1:11" x14ac:dyDescent="0.25">
      <c r="A48" s="2" t="s">
        <v>2822</v>
      </c>
      <c r="B48" s="2" t="str">
        <f>"V4160983789001"</f>
        <v>V4160983789001</v>
      </c>
      <c r="C48" s="2" t="s">
        <v>2959</v>
      </c>
      <c r="D48" s="2" t="s">
        <v>2928</v>
      </c>
      <c r="E48" s="2" t="s">
        <v>2929</v>
      </c>
      <c r="F48" s="2" t="s">
        <v>13</v>
      </c>
      <c r="H48" s="2">
        <v>2015</v>
      </c>
      <c r="I48" s="2" t="s">
        <v>2960</v>
      </c>
      <c r="J48" s="2" t="s">
        <v>15</v>
      </c>
      <c r="K48" s="2" t="s">
        <v>2961</v>
      </c>
    </row>
    <row r="49" spans="1:11" x14ac:dyDescent="0.25">
      <c r="A49" s="2" t="s">
        <v>2822</v>
      </c>
      <c r="B49" s="2" t="str">
        <f>"V4160983795001"</f>
        <v>V4160983795001</v>
      </c>
      <c r="C49" s="2" t="s">
        <v>2962</v>
      </c>
      <c r="D49" s="2" t="s">
        <v>2928</v>
      </c>
      <c r="E49" s="2" t="s">
        <v>2929</v>
      </c>
      <c r="F49" s="2" t="s">
        <v>13</v>
      </c>
      <c r="H49" s="2">
        <v>2015</v>
      </c>
      <c r="I49" s="2" t="s">
        <v>2963</v>
      </c>
      <c r="J49" s="2" t="s">
        <v>15</v>
      </c>
      <c r="K49" s="2" t="s">
        <v>2964</v>
      </c>
    </row>
    <row r="50" spans="1:11" x14ac:dyDescent="0.25">
      <c r="A50" s="2" t="s">
        <v>2822</v>
      </c>
      <c r="B50" s="2" t="str">
        <f>"V4398329032001"</f>
        <v>V4398329032001</v>
      </c>
      <c r="C50" s="2" t="s">
        <v>2965</v>
      </c>
      <c r="D50" s="2" t="s">
        <v>2928</v>
      </c>
      <c r="E50" s="2" t="s">
        <v>2929</v>
      </c>
      <c r="F50" s="2" t="s">
        <v>13</v>
      </c>
      <c r="H50" s="2">
        <v>2015</v>
      </c>
      <c r="I50" s="2" t="s">
        <v>2966</v>
      </c>
      <c r="J50" s="2" t="s">
        <v>15</v>
      </c>
      <c r="K50" s="2" t="s">
        <v>2967</v>
      </c>
    </row>
    <row r="51" spans="1:11" x14ac:dyDescent="0.25">
      <c r="A51" s="2" t="s">
        <v>2822</v>
      </c>
      <c r="B51" s="2" t="str">
        <f>"V4398329034001"</f>
        <v>V4398329034001</v>
      </c>
      <c r="C51" s="2" t="s">
        <v>2968</v>
      </c>
      <c r="D51" s="2" t="s">
        <v>2928</v>
      </c>
      <c r="E51" s="2" t="s">
        <v>2929</v>
      </c>
      <c r="F51" s="2" t="s">
        <v>13</v>
      </c>
      <c r="H51" s="2">
        <v>2015</v>
      </c>
      <c r="I51" s="2" t="s">
        <v>2969</v>
      </c>
      <c r="J51" s="2" t="s">
        <v>15</v>
      </c>
      <c r="K51" s="2" t="s">
        <v>2970</v>
      </c>
    </row>
    <row r="52" spans="1:11" x14ac:dyDescent="0.25">
      <c r="A52" s="2" t="s">
        <v>2822</v>
      </c>
      <c r="B52" s="2" t="str">
        <f>"V4398329019001"</f>
        <v>V4398329019001</v>
      </c>
      <c r="C52" s="2" t="s">
        <v>2971</v>
      </c>
      <c r="D52" s="2" t="s">
        <v>2928</v>
      </c>
      <c r="E52" s="2" t="s">
        <v>2929</v>
      </c>
      <c r="F52" s="2" t="s">
        <v>13</v>
      </c>
      <c r="H52" s="2">
        <v>2015</v>
      </c>
      <c r="I52" s="2" t="s">
        <v>2972</v>
      </c>
      <c r="J52" s="2" t="s">
        <v>15</v>
      </c>
      <c r="K52" s="2" t="s">
        <v>2973</v>
      </c>
    </row>
    <row r="53" spans="1:11" x14ac:dyDescent="0.25">
      <c r="A53" s="2" t="s">
        <v>2822</v>
      </c>
      <c r="B53" s="2" t="str">
        <f>"V4398262825001"</f>
        <v>V4398262825001</v>
      </c>
      <c r="C53" s="2" t="s">
        <v>2974</v>
      </c>
      <c r="D53" s="2" t="s">
        <v>2928</v>
      </c>
      <c r="E53" s="2" t="s">
        <v>2929</v>
      </c>
      <c r="F53" s="2" t="s">
        <v>13</v>
      </c>
      <c r="H53" s="2">
        <v>2015</v>
      </c>
      <c r="I53" s="2" t="s">
        <v>2975</v>
      </c>
      <c r="J53" s="2" t="s">
        <v>15</v>
      </c>
      <c r="K53" s="2" t="s">
        <v>2976</v>
      </c>
    </row>
    <row r="54" spans="1:11" x14ac:dyDescent="0.25">
      <c r="A54" s="2" t="s">
        <v>2822</v>
      </c>
      <c r="B54" s="2" t="str">
        <f>"V4160983790001"</f>
        <v>V4160983790001</v>
      </c>
      <c r="C54" s="2" t="s">
        <v>2977</v>
      </c>
      <c r="D54" s="2" t="s">
        <v>2928</v>
      </c>
      <c r="E54" s="2" t="s">
        <v>2929</v>
      </c>
      <c r="F54" s="2" t="s">
        <v>13</v>
      </c>
      <c r="H54" s="2">
        <v>2015</v>
      </c>
      <c r="I54" s="2" t="s">
        <v>2978</v>
      </c>
      <c r="J54" s="2" t="s">
        <v>15</v>
      </c>
      <c r="K54" s="2" t="s">
        <v>2979</v>
      </c>
    </row>
    <row r="55" spans="1:11" x14ac:dyDescent="0.25">
      <c r="A55" s="2" t="s">
        <v>2822</v>
      </c>
      <c r="B55" s="2" t="str">
        <f>"V4160983785001"</f>
        <v>V4160983785001</v>
      </c>
      <c r="C55" s="2" t="s">
        <v>2980</v>
      </c>
      <c r="D55" s="2" t="s">
        <v>2928</v>
      </c>
      <c r="E55" s="2" t="s">
        <v>2929</v>
      </c>
      <c r="F55" s="2" t="s">
        <v>13</v>
      </c>
      <c r="H55" s="2">
        <v>2015</v>
      </c>
      <c r="I55" s="2" t="s">
        <v>2981</v>
      </c>
      <c r="J55" s="2" t="s">
        <v>15</v>
      </c>
      <c r="K55" s="2" t="s">
        <v>2982</v>
      </c>
    </row>
    <row r="56" spans="1:11" x14ac:dyDescent="0.25">
      <c r="A56" s="2" t="s">
        <v>2822</v>
      </c>
      <c r="B56" s="2" t="str">
        <f>"V4398262830001"</f>
        <v>V4398262830001</v>
      </c>
      <c r="C56" s="2" t="s">
        <v>2983</v>
      </c>
      <c r="D56" s="2" t="s">
        <v>2928</v>
      </c>
      <c r="E56" s="2" t="s">
        <v>2929</v>
      </c>
      <c r="F56" s="2" t="s">
        <v>13</v>
      </c>
      <c r="H56" s="2">
        <v>2015</v>
      </c>
      <c r="I56" s="2" t="s">
        <v>2984</v>
      </c>
      <c r="J56" s="2" t="s">
        <v>15</v>
      </c>
      <c r="K56" s="2" t="s">
        <v>2985</v>
      </c>
    </row>
    <row r="57" spans="1:11" x14ac:dyDescent="0.25">
      <c r="A57" s="2" t="s">
        <v>2822</v>
      </c>
      <c r="B57" s="2" t="str">
        <f>"V4398272078001"</f>
        <v>V4398272078001</v>
      </c>
      <c r="C57" s="2" t="s">
        <v>2986</v>
      </c>
      <c r="D57" s="2" t="s">
        <v>2928</v>
      </c>
      <c r="E57" s="2" t="s">
        <v>2929</v>
      </c>
      <c r="F57" s="2" t="s">
        <v>13</v>
      </c>
      <c r="H57" s="2">
        <v>2015</v>
      </c>
      <c r="I57" s="2" t="s">
        <v>2987</v>
      </c>
      <c r="J57" s="2" t="s">
        <v>15</v>
      </c>
      <c r="K57" s="2" t="s">
        <v>2988</v>
      </c>
    </row>
    <row r="58" spans="1:11" x14ac:dyDescent="0.25">
      <c r="A58" s="2" t="s">
        <v>2822</v>
      </c>
      <c r="B58" s="2" t="str">
        <f>"V4398329012001"</f>
        <v>V4398329012001</v>
      </c>
      <c r="C58" s="2" t="s">
        <v>2989</v>
      </c>
      <c r="D58" s="2" t="s">
        <v>2928</v>
      </c>
      <c r="E58" s="2" t="s">
        <v>2929</v>
      </c>
      <c r="F58" s="2" t="s">
        <v>13</v>
      </c>
      <c r="H58" s="2">
        <v>2015</v>
      </c>
      <c r="I58" s="2" t="s">
        <v>2990</v>
      </c>
      <c r="J58" s="2" t="s">
        <v>15</v>
      </c>
      <c r="K58" s="2" t="s">
        <v>2991</v>
      </c>
    </row>
    <row r="59" spans="1:11" x14ac:dyDescent="0.25">
      <c r="A59" s="2" t="s">
        <v>2822</v>
      </c>
      <c r="B59" s="2" t="str">
        <f>"V4160983801001"</f>
        <v>V4160983801001</v>
      </c>
      <c r="C59" s="2" t="s">
        <v>2992</v>
      </c>
      <c r="D59" s="2" t="s">
        <v>2928</v>
      </c>
      <c r="E59" s="2" t="s">
        <v>2929</v>
      </c>
      <c r="F59" s="2" t="s">
        <v>13</v>
      </c>
      <c r="H59" s="2">
        <v>2015</v>
      </c>
      <c r="I59" s="2" t="s">
        <v>2993</v>
      </c>
      <c r="J59" s="2" t="s">
        <v>15</v>
      </c>
      <c r="K59" s="2" t="s">
        <v>2994</v>
      </c>
    </row>
    <row r="60" spans="1:11" x14ac:dyDescent="0.25">
      <c r="A60" s="2" t="s">
        <v>2822</v>
      </c>
      <c r="B60" s="2" t="str">
        <f>"V4160983784001"</f>
        <v>V4160983784001</v>
      </c>
      <c r="C60" s="2" t="s">
        <v>2995</v>
      </c>
      <c r="D60" s="2" t="s">
        <v>2928</v>
      </c>
      <c r="E60" s="2" t="s">
        <v>2929</v>
      </c>
      <c r="F60" s="2" t="s">
        <v>13</v>
      </c>
      <c r="H60" s="2">
        <v>2015</v>
      </c>
      <c r="I60" s="2" t="s">
        <v>2996</v>
      </c>
      <c r="J60" s="2" t="s">
        <v>15</v>
      </c>
      <c r="K60" s="2" t="s">
        <v>2997</v>
      </c>
    </row>
    <row r="61" spans="1:11" x14ac:dyDescent="0.25">
      <c r="A61" s="2" t="s">
        <v>2822</v>
      </c>
      <c r="B61" s="2" t="str">
        <f>"V4160983799001"</f>
        <v>V4160983799001</v>
      </c>
      <c r="C61" s="2" t="s">
        <v>2998</v>
      </c>
      <c r="D61" s="2" t="s">
        <v>2928</v>
      </c>
      <c r="E61" s="2" t="s">
        <v>2929</v>
      </c>
      <c r="F61" s="2" t="s">
        <v>13</v>
      </c>
      <c r="H61" s="2">
        <v>2015</v>
      </c>
      <c r="I61" s="2" t="s">
        <v>2999</v>
      </c>
      <c r="J61" s="2" t="s">
        <v>15</v>
      </c>
      <c r="K61" s="2" t="s">
        <v>3000</v>
      </c>
    </row>
    <row r="62" spans="1:11" x14ac:dyDescent="0.25">
      <c r="A62" s="2" t="s">
        <v>2822</v>
      </c>
      <c r="B62" s="2" t="str">
        <f>"V4160983803001"</f>
        <v>V4160983803001</v>
      </c>
      <c r="C62" s="2" t="s">
        <v>3001</v>
      </c>
      <c r="D62" s="2" t="s">
        <v>2928</v>
      </c>
      <c r="E62" s="2" t="s">
        <v>2929</v>
      </c>
      <c r="F62" s="2" t="s">
        <v>13</v>
      </c>
      <c r="H62" s="2">
        <v>2015</v>
      </c>
      <c r="I62" s="2" t="s">
        <v>3002</v>
      </c>
      <c r="J62" s="2" t="s">
        <v>15</v>
      </c>
      <c r="K62" s="2" t="s">
        <v>3003</v>
      </c>
    </row>
    <row r="63" spans="1:11" x14ac:dyDescent="0.25">
      <c r="A63" s="2" t="s">
        <v>2822</v>
      </c>
      <c r="B63" s="2" t="str">
        <f>"V4163105219001"</f>
        <v>V4163105219001</v>
      </c>
      <c r="C63" s="2" t="s">
        <v>3004</v>
      </c>
      <c r="D63" s="2" t="s">
        <v>2928</v>
      </c>
      <c r="E63" s="2" t="s">
        <v>2929</v>
      </c>
      <c r="F63" s="2" t="s">
        <v>13</v>
      </c>
      <c r="H63" s="2">
        <v>2015</v>
      </c>
      <c r="I63" s="2" t="s">
        <v>3005</v>
      </c>
      <c r="J63" s="2" t="s">
        <v>15</v>
      </c>
      <c r="K63" s="2" t="s">
        <v>3006</v>
      </c>
    </row>
    <row r="64" spans="1:11" x14ac:dyDescent="0.25">
      <c r="A64" s="2" t="s">
        <v>2822</v>
      </c>
      <c r="B64" s="2" t="str">
        <f>"V4160983788001"</f>
        <v>V4160983788001</v>
      </c>
      <c r="C64" s="2" t="s">
        <v>3007</v>
      </c>
      <c r="D64" s="2" t="s">
        <v>2928</v>
      </c>
      <c r="E64" s="2" t="s">
        <v>2929</v>
      </c>
      <c r="F64" s="2" t="s">
        <v>13</v>
      </c>
      <c r="H64" s="2">
        <v>2015</v>
      </c>
      <c r="I64" s="2" t="s">
        <v>3008</v>
      </c>
      <c r="J64" s="2" t="s">
        <v>15</v>
      </c>
      <c r="K64" s="2" t="s">
        <v>3009</v>
      </c>
    </row>
    <row r="65" spans="1:11" x14ac:dyDescent="0.25">
      <c r="A65" s="2" t="s">
        <v>2822</v>
      </c>
      <c r="B65" s="2" t="str">
        <f>"V4160983792001"</f>
        <v>V4160983792001</v>
      </c>
      <c r="C65" s="2" t="s">
        <v>3010</v>
      </c>
      <c r="D65" s="2" t="s">
        <v>2928</v>
      </c>
      <c r="E65" s="2" t="s">
        <v>2929</v>
      </c>
      <c r="F65" s="2" t="s">
        <v>13</v>
      </c>
      <c r="H65" s="2">
        <v>2015</v>
      </c>
      <c r="I65" s="2" t="s">
        <v>3011</v>
      </c>
      <c r="J65" s="2" t="s">
        <v>15</v>
      </c>
      <c r="K65" s="2" t="s">
        <v>3012</v>
      </c>
    </row>
    <row r="66" spans="1:11" x14ac:dyDescent="0.25">
      <c r="A66" s="2" t="s">
        <v>2822</v>
      </c>
      <c r="B66" s="2" t="str">
        <f>"V4160983804001"</f>
        <v>V4160983804001</v>
      </c>
      <c r="C66" s="2" t="s">
        <v>3013</v>
      </c>
      <c r="D66" s="2" t="s">
        <v>2928</v>
      </c>
      <c r="E66" s="2" t="s">
        <v>2929</v>
      </c>
      <c r="F66" s="2" t="s">
        <v>13</v>
      </c>
      <c r="H66" s="2">
        <v>2015</v>
      </c>
      <c r="I66" s="2" t="s">
        <v>3014</v>
      </c>
      <c r="J66" s="2" t="s">
        <v>15</v>
      </c>
      <c r="K66" s="2" t="s">
        <v>3015</v>
      </c>
    </row>
    <row r="67" spans="1:11" x14ac:dyDescent="0.25">
      <c r="A67" s="2" t="s">
        <v>2822</v>
      </c>
      <c r="B67" s="2" t="str">
        <f>"V4398329025001"</f>
        <v>V4398329025001</v>
      </c>
      <c r="C67" s="2" t="s">
        <v>3016</v>
      </c>
      <c r="D67" s="2" t="s">
        <v>2928</v>
      </c>
      <c r="E67" s="2" t="s">
        <v>2929</v>
      </c>
      <c r="F67" s="2" t="s">
        <v>13</v>
      </c>
      <c r="H67" s="2">
        <v>2015</v>
      </c>
      <c r="I67" s="2" t="s">
        <v>3017</v>
      </c>
      <c r="J67" s="2" t="s">
        <v>15</v>
      </c>
      <c r="K67" s="2" t="s">
        <v>3018</v>
      </c>
    </row>
    <row r="68" spans="1:11" x14ac:dyDescent="0.25">
      <c r="A68" s="2" t="s">
        <v>2822</v>
      </c>
      <c r="B68" s="2" t="str">
        <f>"V4414255699001"</f>
        <v>V4414255699001</v>
      </c>
      <c r="C68" s="2" t="s">
        <v>3019</v>
      </c>
      <c r="D68" s="2" t="s">
        <v>2928</v>
      </c>
      <c r="E68" s="2" t="s">
        <v>2929</v>
      </c>
      <c r="F68" s="2" t="s">
        <v>13</v>
      </c>
      <c r="H68" s="2">
        <v>2015</v>
      </c>
      <c r="I68" s="2" t="s">
        <v>3020</v>
      </c>
      <c r="J68" s="2" t="s">
        <v>15</v>
      </c>
      <c r="K68" s="2" t="s">
        <v>3021</v>
      </c>
    </row>
    <row r="69" spans="1:11" x14ac:dyDescent="0.25">
      <c r="A69" s="2" t="s">
        <v>2822</v>
      </c>
      <c r="B69" s="2" t="str">
        <f>"V4398272104001"</f>
        <v>V4398272104001</v>
      </c>
      <c r="C69" s="2" t="s">
        <v>3022</v>
      </c>
      <c r="D69" s="2" t="s">
        <v>2928</v>
      </c>
      <c r="E69" s="2" t="s">
        <v>2929</v>
      </c>
      <c r="F69" s="2" t="s">
        <v>13</v>
      </c>
      <c r="H69" s="2">
        <v>2015</v>
      </c>
      <c r="I69" s="2" t="s">
        <v>3023</v>
      </c>
      <c r="J69" s="2" t="s">
        <v>15</v>
      </c>
      <c r="K69" s="2" t="s">
        <v>3024</v>
      </c>
    </row>
    <row r="70" spans="1:11" x14ac:dyDescent="0.25">
      <c r="A70" s="2" t="s">
        <v>2822</v>
      </c>
      <c r="B70" s="2" t="str">
        <f>"V4160983794001"</f>
        <v>V4160983794001</v>
      </c>
      <c r="C70" s="2" t="s">
        <v>3025</v>
      </c>
      <c r="D70" s="2" t="s">
        <v>2928</v>
      </c>
      <c r="E70" s="2" t="s">
        <v>2929</v>
      </c>
      <c r="F70" s="2" t="s">
        <v>13</v>
      </c>
      <c r="H70" s="2">
        <v>2015</v>
      </c>
      <c r="I70" s="2" t="s">
        <v>3026</v>
      </c>
      <c r="J70" s="2" t="s">
        <v>15</v>
      </c>
      <c r="K70" s="2" t="s">
        <v>3027</v>
      </c>
    </row>
    <row r="71" spans="1:11" x14ac:dyDescent="0.25">
      <c r="A71" s="2" t="s">
        <v>2822</v>
      </c>
      <c r="B71" s="2" t="str">
        <f>"V4160983800001"</f>
        <v>V4160983800001</v>
      </c>
      <c r="C71" s="2" t="s">
        <v>3028</v>
      </c>
      <c r="D71" s="2" t="s">
        <v>2928</v>
      </c>
      <c r="E71" s="2" t="s">
        <v>2929</v>
      </c>
      <c r="F71" s="2" t="s">
        <v>13</v>
      </c>
      <c r="H71" s="2">
        <v>2015</v>
      </c>
      <c r="I71" s="2" t="s">
        <v>3029</v>
      </c>
      <c r="J71" s="2" t="s">
        <v>15</v>
      </c>
      <c r="K71" s="2" t="s">
        <v>3030</v>
      </c>
    </row>
    <row r="72" spans="1:11" x14ac:dyDescent="0.25">
      <c r="A72" s="2" t="s">
        <v>2822</v>
      </c>
      <c r="B72" s="2" t="str">
        <f>"V4398329038001"</f>
        <v>V4398329038001</v>
      </c>
      <c r="C72" s="2" t="s">
        <v>3031</v>
      </c>
      <c r="D72" s="2" t="s">
        <v>2928</v>
      </c>
      <c r="E72" s="2" t="s">
        <v>2929</v>
      </c>
      <c r="F72" s="2" t="s">
        <v>13</v>
      </c>
      <c r="H72" s="2">
        <v>2015</v>
      </c>
      <c r="I72" s="2" t="s">
        <v>3032</v>
      </c>
      <c r="J72" s="2" t="s">
        <v>15</v>
      </c>
      <c r="K72" s="2" t="s">
        <v>3033</v>
      </c>
    </row>
    <row r="73" spans="1:11" x14ac:dyDescent="0.25">
      <c r="A73" s="2" t="s">
        <v>2822</v>
      </c>
      <c r="B73" s="2" t="str">
        <f>"V4160983791001"</f>
        <v>V4160983791001</v>
      </c>
      <c r="C73" s="2" t="s">
        <v>3034</v>
      </c>
      <c r="D73" s="2" t="s">
        <v>2928</v>
      </c>
      <c r="E73" s="2" t="s">
        <v>2929</v>
      </c>
      <c r="F73" s="2" t="s">
        <v>13</v>
      </c>
      <c r="H73" s="2">
        <v>2015</v>
      </c>
      <c r="I73" s="2" t="s">
        <v>3035</v>
      </c>
      <c r="J73" s="2" t="s">
        <v>15</v>
      </c>
      <c r="K73" s="2" t="s">
        <v>3036</v>
      </c>
    </row>
    <row r="74" spans="1:11" x14ac:dyDescent="0.25">
      <c r="A74" s="2" t="s">
        <v>2822</v>
      </c>
      <c r="B74" s="2" t="str">
        <f>"V4398329042001"</f>
        <v>V4398329042001</v>
      </c>
      <c r="C74" s="2" t="s">
        <v>3037</v>
      </c>
      <c r="D74" s="2" t="s">
        <v>2928</v>
      </c>
      <c r="E74" s="2" t="s">
        <v>2929</v>
      </c>
      <c r="F74" s="2" t="s">
        <v>13</v>
      </c>
      <c r="H74" s="2">
        <v>2015</v>
      </c>
      <c r="I74" s="2" t="s">
        <v>3038</v>
      </c>
      <c r="J74" s="2" t="s">
        <v>15</v>
      </c>
      <c r="K74" s="2" t="s">
        <v>3039</v>
      </c>
    </row>
    <row r="75" spans="1:11" x14ac:dyDescent="0.25">
      <c r="A75" s="2" t="s">
        <v>2822</v>
      </c>
      <c r="B75" s="2" t="str">
        <f>"V4160983793001"</f>
        <v>V4160983793001</v>
      </c>
      <c r="C75" s="2" t="s">
        <v>3040</v>
      </c>
      <c r="D75" s="2" t="s">
        <v>2928</v>
      </c>
      <c r="E75" s="2" t="s">
        <v>2929</v>
      </c>
      <c r="F75" s="2" t="s">
        <v>13</v>
      </c>
      <c r="H75" s="2">
        <v>2015</v>
      </c>
      <c r="I75" s="2" t="s">
        <v>3041</v>
      </c>
      <c r="J75" s="2" t="s">
        <v>15</v>
      </c>
      <c r="K75" s="2" t="s">
        <v>3042</v>
      </c>
    </row>
    <row r="76" spans="1:11" x14ac:dyDescent="0.25">
      <c r="A76" s="2" t="s">
        <v>2822</v>
      </c>
      <c r="B76" s="2" t="str">
        <f>"V4414265572001"</f>
        <v>V4414265572001</v>
      </c>
      <c r="C76" s="2" t="s">
        <v>3043</v>
      </c>
      <c r="D76" s="2" t="s">
        <v>2928</v>
      </c>
      <c r="E76" s="2" t="s">
        <v>2929</v>
      </c>
      <c r="F76" s="2" t="s">
        <v>13</v>
      </c>
      <c r="H76" s="2">
        <v>2015</v>
      </c>
      <c r="I76" s="2" t="s">
        <v>3044</v>
      </c>
      <c r="J76" s="2" t="s">
        <v>15</v>
      </c>
      <c r="K76" s="2" t="s">
        <v>3045</v>
      </c>
    </row>
    <row r="77" spans="1:11" x14ac:dyDescent="0.25">
      <c r="A77" s="2" t="s">
        <v>2822</v>
      </c>
      <c r="B77" s="2" t="str">
        <f>"V3128267242001"</f>
        <v>V3128267242001</v>
      </c>
      <c r="C77" s="2" t="s">
        <v>3046</v>
      </c>
      <c r="D77" s="2" t="s">
        <v>1818</v>
      </c>
      <c r="E77" s="2" t="s">
        <v>2903</v>
      </c>
      <c r="F77" s="2" t="s">
        <v>13</v>
      </c>
      <c r="H77" s="2">
        <v>2014</v>
      </c>
      <c r="I77" s="2" t="s">
        <v>3047</v>
      </c>
      <c r="J77" s="2" t="s">
        <v>15</v>
      </c>
      <c r="K77" s="2" t="s">
        <v>3048</v>
      </c>
    </row>
    <row r="78" spans="1:11" x14ac:dyDescent="0.25">
      <c r="A78" s="2" t="s">
        <v>2822</v>
      </c>
      <c r="B78" s="2" t="str">
        <f>"V3128349457001"</f>
        <v>V3128349457001</v>
      </c>
      <c r="C78" s="2" t="s">
        <v>3049</v>
      </c>
      <c r="D78" s="2" t="s">
        <v>1818</v>
      </c>
      <c r="E78" s="2" t="s">
        <v>2903</v>
      </c>
      <c r="F78" s="2" t="s">
        <v>13</v>
      </c>
      <c r="H78" s="2">
        <v>2014</v>
      </c>
      <c r="I78" s="2" t="s">
        <v>3050</v>
      </c>
      <c r="J78" s="2" t="s">
        <v>15</v>
      </c>
      <c r="K78" s="2" t="s">
        <v>3051</v>
      </c>
    </row>
    <row r="79" spans="1:11" x14ac:dyDescent="0.25">
      <c r="A79" s="2" t="s">
        <v>2822</v>
      </c>
      <c r="B79" s="2" t="str">
        <f>"V3128349458001"</f>
        <v>V3128349458001</v>
      </c>
      <c r="C79" s="2" t="s">
        <v>3052</v>
      </c>
      <c r="D79" s="2" t="s">
        <v>1818</v>
      </c>
      <c r="E79" s="2" t="s">
        <v>2903</v>
      </c>
      <c r="F79" s="2" t="s">
        <v>13</v>
      </c>
      <c r="H79" s="2">
        <v>2014</v>
      </c>
      <c r="I79" s="2" t="s">
        <v>3053</v>
      </c>
      <c r="J79" s="2" t="s">
        <v>15</v>
      </c>
      <c r="K79" s="2" t="s">
        <v>3054</v>
      </c>
    </row>
    <row r="80" spans="1:11" x14ac:dyDescent="0.25">
      <c r="A80" s="2" t="s">
        <v>2822</v>
      </c>
      <c r="B80" s="2" t="str">
        <f>"V3128349459001"</f>
        <v>V3128349459001</v>
      </c>
      <c r="C80" s="2" t="s">
        <v>3055</v>
      </c>
      <c r="D80" s="2" t="s">
        <v>1818</v>
      </c>
      <c r="E80" s="2" t="s">
        <v>2903</v>
      </c>
      <c r="F80" s="2" t="s">
        <v>13</v>
      </c>
      <c r="H80" s="2">
        <v>2014</v>
      </c>
      <c r="I80" s="2" t="s">
        <v>3056</v>
      </c>
      <c r="J80" s="2" t="s">
        <v>15</v>
      </c>
      <c r="K80" s="2" t="s">
        <v>3057</v>
      </c>
    </row>
    <row r="81" spans="1:11" x14ac:dyDescent="0.25">
      <c r="A81" s="2" t="s">
        <v>2822</v>
      </c>
      <c r="B81" s="2" t="str">
        <f>"V3128349460001"</f>
        <v>V3128349460001</v>
      </c>
      <c r="C81" s="2" t="s">
        <v>3058</v>
      </c>
      <c r="D81" s="2" t="s">
        <v>1818</v>
      </c>
      <c r="E81" s="2" t="s">
        <v>2903</v>
      </c>
      <c r="F81" s="2" t="s">
        <v>13</v>
      </c>
      <c r="H81" s="2">
        <v>2014</v>
      </c>
      <c r="I81" s="2" t="s">
        <v>3059</v>
      </c>
      <c r="J81" s="2" t="s">
        <v>15</v>
      </c>
      <c r="K81" s="2" t="s">
        <v>3060</v>
      </c>
    </row>
    <row r="82" spans="1:11" x14ac:dyDescent="0.25">
      <c r="A82" s="2" t="s">
        <v>2822</v>
      </c>
      <c r="B82" s="2" t="str">
        <f>"V3128349461001"</f>
        <v>V3128349461001</v>
      </c>
      <c r="C82" s="2" t="s">
        <v>3061</v>
      </c>
      <c r="D82" s="2" t="s">
        <v>1818</v>
      </c>
      <c r="E82" s="2" t="s">
        <v>2903</v>
      </c>
      <c r="F82" s="2" t="s">
        <v>13</v>
      </c>
      <c r="H82" s="2">
        <v>2014</v>
      </c>
      <c r="I82" s="2" t="s">
        <v>3062</v>
      </c>
      <c r="J82" s="2" t="s">
        <v>15</v>
      </c>
      <c r="K82" s="2" t="s">
        <v>3063</v>
      </c>
    </row>
    <row r="83" spans="1:11" x14ac:dyDescent="0.25">
      <c r="A83" s="2" t="s">
        <v>2822</v>
      </c>
      <c r="B83" s="2" t="str">
        <f>"V3128349462001"</f>
        <v>V3128349462001</v>
      </c>
      <c r="C83" s="2" t="s">
        <v>3064</v>
      </c>
      <c r="D83" s="2" t="s">
        <v>1818</v>
      </c>
      <c r="E83" s="2" t="s">
        <v>2903</v>
      </c>
      <c r="F83" s="2" t="s">
        <v>13</v>
      </c>
      <c r="H83" s="2">
        <v>2014</v>
      </c>
      <c r="I83" s="2" t="s">
        <v>3065</v>
      </c>
      <c r="J83" s="2" t="s">
        <v>15</v>
      </c>
      <c r="K83" s="2" t="s">
        <v>3066</v>
      </c>
    </row>
    <row r="84" spans="1:11" x14ac:dyDescent="0.25">
      <c r="A84" s="2" t="s">
        <v>2822</v>
      </c>
      <c r="B84" s="2" t="str">
        <f>"V3128349463001"</f>
        <v>V3128349463001</v>
      </c>
      <c r="C84" s="2" t="s">
        <v>3067</v>
      </c>
      <c r="D84" s="2" t="s">
        <v>1818</v>
      </c>
      <c r="E84" s="2" t="s">
        <v>2903</v>
      </c>
      <c r="F84" s="2" t="s">
        <v>13</v>
      </c>
      <c r="H84" s="2">
        <v>2014</v>
      </c>
      <c r="I84" s="2" t="s">
        <v>3068</v>
      </c>
      <c r="J84" s="2" t="s">
        <v>15</v>
      </c>
      <c r="K84" s="2" t="s">
        <v>3069</v>
      </c>
    </row>
    <row r="85" spans="1:11" x14ac:dyDescent="0.25">
      <c r="A85" s="2" t="s">
        <v>2822</v>
      </c>
      <c r="B85" s="2" t="str">
        <f>"V3128349464001"</f>
        <v>V3128349464001</v>
      </c>
      <c r="C85" s="2" t="s">
        <v>3070</v>
      </c>
      <c r="D85" s="2" t="s">
        <v>1818</v>
      </c>
      <c r="E85" s="2" t="s">
        <v>2903</v>
      </c>
      <c r="F85" s="2" t="s">
        <v>13</v>
      </c>
      <c r="H85" s="2">
        <v>2014</v>
      </c>
      <c r="I85" s="2" t="s">
        <v>3071</v>
      </c>
      <c r="J85" s="2" t="s">
        <v>15</v>
      </c>
      <c r="K85" s="2" t="s">
        <v>3072</v>
      </c>
    </row>
    <row r="86" spans="1:11" x14ac:dyDescent="0.25">
      <c r="A86" s="2" t="s">
        <v>2822</v>
      </c>
      <c r="B86" s="2" t="str">
        <f>"V3128349465001"</f>
        <v>V3128349465001</v>
      </c>
      <c r="C86" s="2" t="s">
        <v>3073</v>
      </c>
      <c r="D86" s="2" t="s">
        <v>1818</v>
      </c>
      <c r="E86" s="2" t="s">
        <v>2903</v>
      </c>
      <c r="F86" s="2" t="s">
        <v>13</v>
      </c>
      <c r="H86" s="2">
        <v>2014</v>
      </c>
      <c r="I86" s="2" t="s">
        <v>3074</v>
      </c>
      <c r="J86" s="2" t="s">
        <v>15</v>
      </c>
      <c r="K86" s="2" t="s">
        <v>3075</v>
      </c>
    </row>
    <row r="87" spans="1:11" x14ac:dyDescent="0.25">
      <c r="A87" s="2" t="s">
        <v>2822</v>
      </c>
      <c r="B87" s="2" t="str">
        <f>"V3128349466001"</f>
        <v>V3128349466001</v>
      </c>
      <c r="C87" s="2" t="s">
        <v>3076</v>
      </c>
      <c r="D87" s="2" t="s">
        <v>1818</v>
      </c>
      <c r="E87" s="2" t="s">
        <v>2903</v>
      </c>
      <c r="F87" s="2" t="s">
        <v>13</v>
      </c>
      <c r="H87" s="2">
        <v>2014</v>
      </c>
      <c r="I87" s="2" t="s">
        <v>3077</v>
      </c>
      <c r="J87" s="2" t="s">
        <v>15</v>
      </c>
      <c r="K87" s="2" t="s">
        <v>3078</v>
      </c>
    </row>
    <row r="88" spans="1:11" x14ac:dyDescent="0.25">
      <c r="A88" s="2" t="s">
        <v>2822</v>
      </c>
      <c r="B88" s="2" t="str">
        <f>"V3128349468001"</f>
        <v>V3128349468001</v>
      </c>
      <c r="C88" s="2" t="s">
        <v>3079</v>
      </c>
      <c r="D88" s="2" t="s">
        <v>1818</v>
      </c>
      <c r="E88" s="2" t="s">
        <v>2903</v>
      </c>
      <c r="F88" s="2" t="s">
        <v>13</v>
      </c>
      <c r="H88" s="2">
        <v>2014</v>
      </c>
      <c r="I88" s="2" t="s">
        <v>3080</v>
      </c>
      <c r="J88" s="2" t="s">
        <v>15</v>
      </c>
      <c r="K88" s="2" t="s">
        <v>3081</v>
      </c>
    </row>
    <row r="89" spans="1:11" x14ac:dyDescent="0.25">
      <c r="A89" s="2" t="s">
        <v>2822</v>
      </c>
      <c r="B89" s="2" t="str">
        <f>"V3128349467001"</f>
        <v>V3128349467001</v>
      </c>
      <c r="C89" s="2" t="s">
        <v>3082</v>
      </c>
      <c r="D89" s="2" t="s">
        <v>1818</v>
      </c>
      <c r="E89" s="2" t="s">
        <v>2903</v>
      </c>
      <c r="F89" s="2" t="s">
        <v>13</v>
      </c>
      <c r="H89" s="2">
        <v>2014</v>
      </c>
      <c r="I89" s="2" t="s">
        <v>3083</v>
      </c>
      <c r="J89" s="2" t="s">
        <v>15</v>
      </c>
      <c r="K89" s="2" t="s">
        <v>3084</v>
      </c>
    </row>
    <row r="90" spans="1:11" x14ac:dyDescent="0.25">
      <c r="A90" s="2" t="s">
        <v>2822</v>
      </c>
      <c r="B90" s="2" t="str">
        <f>"V1836413539001"</f>
        <v>V1836413539001</v>
      </c>
      <c r="C90" s="2" t="s">
        <v>3085</v>
      </c>
      <c r="D90" s="2" t="s">
        <v>3086</v>
      </c>
      <c r="E90" s="2" t="s">
        <v>3087</v>
      </c>
      <c r="F90" s="2" t="s">
        <v>13</v>
      </c>
      <c r="H90" s="2">
        <v>2012</v>
      </c>
      <c r="I90" s="2" t="s">
        <v>3088</v>
      </c>
      <c r="J90" s="2" t="s">
        <v>15</v>
      </c>
      <c r="K90" s="2" t="s">
        <v>3089</v>
      </c>
    </row>
    <row r="91" spans="1:11" x14ac:dyDescent="0.25">
      <c r="A91" s="2" t="s">
        <v>2822</v>
      </c>
      <c r="B91" s="2" t="str">
        <f>"V1402381061001"</f>
        <v>V1402381061001</v>
      </c>
      <c r="C91" s="2" t="s">
        <v>3090</v>
      </c>
      <c r="D91" s="2" t="s">
        <v>2358</v>
      </c>
      <c r="E91" s="2" t="s">
        <v>3087</v>
      </c>
      <c r="F91" s="2" t="s">
        <v>13</v>
      </c>
      <c r="H91" s="2">
        <v>2011</v>
      </c>
      <c r="I91" s="2" t="s">
        <v>3091</v>
      </c>
      <c r="J91" s="2" t="s">
        <v>15</v>
      </c>
      <c r="K91" s="2" t="s">
        <v>3092</v>
      </c>
    </row>
    <row r="92" spans="1:11" x14ac:dyDescent="0.25">
      <c r="A92" s="2" t="s">
        <v>2822</v>
      </c>
      <c r="B92" s="2" t="str">
        <f>"V1836246974001"</f>
        <v>V1836246974001</v>
      </c>
      <c r="C92" s="2" t="s">
        <v>3093</v>
      </c>
      <c r="D92" s="2" t="s">
        <v>3086</v>
      </c>
      <c r="E92" s="2" t="s">
        <v>3087</v>
      </c>
      <c r="F92" s="2" t="s">
        <v>13</v>
      </c>
      <c r="H92" s="2">
        <v>2012</v>
      </c>
      <c r="I92" s="2" t="s">
        <v>3094</v>
      </c>
      <c r="J92" s="2" t="s">
        <v>15</v>
      </c>
      <c r="K92" s="2" t="s">
        <v>3095</v>
      </c>
    </row>
    <row r="93" spans="1:11" x14ac:dyDescent="0.25">
      <c r="A93" s="2" t="s">
        <v>2822</v>
      </c>
      <c r="B93" s="2" t="str">
        <f>"V1836229563001"</f>
        <v>V1836229563001</v>
      </c>
      <c r="C93" s="2" t="s">
        <v>3096</v>
      </c>
      <c r="D93" s="2" t="s">
        <v>3086</v>
      </c>
      <c r="E93" s="2" t="s">
        <v>3087</v>
      </c>
      <c r="F93" s="2" t="s">
        <v>13</v>
      </c>
      <c r="H93" s="2">
        <v>2012</v>
      </c>
      <c r="I93" s="2" t="s">
        <v>3097</v>
      </c>
      <c r="J93" s="2" t="s">
        <v>15</v>
      </c>
      <c r="K93" s="2" t="s">
        <v>3098</v>
      </c>
    </row>
    <row r="94" spans="1:11" x14ac:dyDescent="0.25">
      <c r="A94" s="2" t="s">
        <v>2822</v>
      </c>
      <c r="B94" s="2" t="str">
        <f>"V1836246987001"</f>
        <v>V1836246987001</v>
      </c>
      <c r="C94" s="2" t="s">
        <v>3099</v>
      </c>
      <c r="D94" s="2" t="s">
        <v>3086</v>
      </c>
      <c r="E94" s="2" t="s">
        <v>3087</v>
      </c>
      <c r="F94" s="2" t="s">
        <v>13</v>
      </c>
      <c r="H94" s="2">
        <v>2012</v>
      </c>
      <c r="I94" s="2" t="s">
        <v>3100</v>
      </c>
      <c r="J94" s="2" t="s">
        <v>15</v>
      </c>
      <c r="K94" s="2" t="s">
        <v>3101</v>
      </c>
    </row>
    <row r="95" spans="1:11" x14ac:dyDescent="0.25">
      <c r="A95" s="2" t="s">
        <v>2822</v>
      </c>
      <c r="B95" s="2" t="str">
        <f>"V1836413537001"</f>
        <v>V1836413537001</v>
      </c>
      <c r="C95" s="2" t="s">
        <v>3102</v>
      </c>
      <c r="D95" s="2" t="s">
        <v>3086</v>
      </c>
      <c r="E95" s="2" t="s">
        <v>3087</v>
      </c>
      <c r="F95" s="2" t="s">
        <v>13</v>
      </c>
      <c r="H95" s="2">
        <v>2012</v>
      </c>
      <c r="I95" s="2" t="s">
        <v>3103</v>
      </c>
      <c r="J95" s="2" t="s">
        <v>15</v>
      </c>
      <c r="K95" s="2" t="s">
        <v>3104</v>
      </c>
    </row>
    <row r="96" spans="1:11" x14ac:dyDescent="0.25">
      <c r="A96" s="2" t="s">
        <v>2822</v>
      </c>
      <c r="B96" s="2" t="str">
        <f>"V1836403149001"</f>
        <v>V1836403149001</v>
      </c>
      <c r="C96" s="2" t="s">
        <v>3105</v>
      </c>
      <c r="D96" s="2" t="s">
        <v>3086</v>
      </c>
      <c r="E96" s="2" t="s">
        <v>3087</v>
      </c>
      <c r="F96" s="2" t="s">
        <v>13</v>
      </c>
      <c r="H96" s="2">
        <v>2012</v>
      </c>
      <c r="I96" s="2" t="s">
        <v>3106</v>
      </c>
      <c r="J96" s="2" t="s">
        <v>15</v>
      </c>
      <c r="K96" s="2" t="s">
        <v>3107</v>
      </c>
    </row>
    <row r="97" spans="1:11" x14ac:dyDescent="0.25">
      <c r="A97" s="2" t="s">
        <v>2822</v>
      </c>
      <c r="B97" s="2" t="str">
        <f>"V4768153294001"</f>
        <v>V4768153294001</v>
      </c>
      <c r="C97" s="2" t="s">
        <v>3108</v>
      </c>
      <c r="D97" s="2" t="s">
        <v>2172</v>
      </c>
      <c r="E97" s="2" t="s">
        <v>2824</v>
      </c>
      <c r="F97" s="2" t="s">
        <v>13</v>
      </c>
      <c r="H97" s="2">
        <v>2016</v>
      </c>
      <c r="I97" s="2" t="s">
        <v>2825</v>
      </c>
      <c r="J97" s="2" t="s">
        <v>15</v>
      </c>
      <c r="K97" s="2" t="s">
        <v>3109</v>
      </c>
    </row>
    <row r="98" spans="1:11" x14ac:dyDescent="0.25">
      <c r="A98" s="2" t="s">
        <v>2822</v>
      </c>
      <c r="B98" s="2" t="str">
        <f>"V3667696172001"</f>
        <v>V3667696172001</v>
      </c>
      <c r="C98" s="2" t="s">
        <v>3110</v>
      </c>
      <c r="D98" s="2" t="s">
        <v>3111</v>
      </c>
      <c r="E98" s="2" t="s">
        <v>3112</v>
      </c>
      <c r="F98" s="2" t="s">
        <v>13</v>
      </c>
      <c r="H98" s="2">
        <v>2014</v>
      </c>
      <c r="I98" s="2" t="s">
        <v>3113</v>
      </c>
      <c r="J98" s="2" t="s">
        <v>15</v>
      </c>
      <c r="K98" s="2" t="s">
        <v>3114</v>
      </c>
    </row>
    <row r="99" spans="1:11" x14ac:dyDescent="0.25">
      <c r="A99" s="2" t="s">
        <v>2822</v>
      </c>
      <c r="B99" s="2" t="str">
        <f>"V3667696171001"</f>
        <v>V3667696171001</v>
      </c>
      <c r="C99" s="2" t="s">
        <v>3115</v>
      </c>
      <c r="D99" s="2" t="s">
        <v>3111</v>
      </c>
      <c r="E99" s="2" t="s">
        <v>3112</v>
      </c>
      <c r="F99" s="2" t="s">
        <v>13</v>
      </c>
      <c r="H99" s="2">
        <v>2014</v>
      </c>
      <c r="I99" s="2" t="s">
        <v>3116</v>
      </c>
      <c r="J99" s="2" t="s">
        <v>15</v>
      </c>
      <c r="K99" s="2" t="s">
        <v>3117</v>
      </c>
    </row>
    <row r="100" spans="1:11" x14ac:dyDescent="0.25">
      <c r="A100" s="2" t="s">
        <v>2822</v>
      </c>
      <c r="B100" s="2" t="str">
        <f>"V3615833513001"</f>
        <v>V3615833513001</v>
      </c>
      <c r="C100" s="2" t="s">
        <v>3118</v>
      </c>
      <c r="D100" s="2" t="s">
        <v>3111</v>
      </c>
      <c r="E100" s="2" t="s">
        <v>3112</v>
      </c>
      <c r="F100" s="2" t="s">
        <v>13</v>
      </c>
      <c r="H100" s="2">
        <v>2014</v>
      </c>
      <c r="I100" s="2" t="s">
        <v>3119</v>
      </c>
      <c r="J100" s="2" t="s">
        <v>15</v>
      </c>
      <c r="K100" s="2" t="s">
        <v>3120</v>
      </c>
    </row>
    <row r="101" spans="1:11" x14ac:dyDescent="0.25">
      <c r="A101" s="2" t="s">
        <v>2822</v>
      </c>
      <c r="B101" s="2" t="str">
        <f>"V4768134735001"</f>
        <v>V4768134735001</v>
      </c>
      <c r="C101" s="2" t="s">
        <v>3121</v>
      </c>
      <c r="D101" s="2" t="s">
        <v>2172</v>
      </c>
      <c r="E101" s="2" t="s">
        <v>2824</v>
      </c>
      <c r="F101" s="2" t="s">
        <v>13</v>
      </c>
      <c r="H101" s="2">
        <v>2016</v>
      </c>
      <c r="I101" s="2" t="s">
        <v>2825</v>
      </c>
      <c r="J101" s="2" t="s">
        <v>15</v>
      </c>
      <c r="K101" s="2" t="s">
        <v>3122</v>
      </c>
    </row>
    <row r="102" spans="1:11" x14ac:dyDescent="0.25">
      <c r="A102" s="2" t="s">
        <v>2822</v>
      </c>
      <c r="B102" s="2" t="str">
        <f>"V5759220632001"</f>
        <v>V5759220632001</v>
      </c>
      <c r="C102" s="2" t="s">
        <v>3123</v>
      </c>
      <c r="D102" s="2" t="s">
        <v>2511</v>
      </c>
      <c r="E102" s="2" t="s">
        <v>3124</v>
      </c>
      <c r="F102" s="2" t="s">
        <v>13</v>
      </c>
      <c r="H102" s="2">
        <v>2018</v>
      </c>
      <c r="I102" s="2" t="s">
        <v>3125</v>
      </c>
      <c r="J102" s="2" t="s">
        <v>15</v>
      </c>
      <c r="K102" s="2" t="s">
        <v>3126</v>
      </c>
    </row>
    <row r="103" spans="1:11" x14ac:dyDescent="0.25">
      <c r="A103" s="2" t="s">
        <v>2822</v>
      </c>
      <c r="B103" s="2" t="str">
        <f>"V5762520689001"</f>
        <v>V5762520689001</v>
      </c>
      <c r="C103" s="2" t="s">
        <v>3127</v>
      </c>
      <c r="D103" s="2" t="s">
        <v>2511</v>
      </c>
      <c r="E103" s="2" t="s">
        <v>3124</v>
      </c>
      <c r="F103" s="2" t="s">
        <v>13</v>
      </c>
      <c r="H103" s="2">
        <v>2018</v>
      </c>
      <c r="I103" s="2" t="s">
        <v>3128</v>
      </c>
      <c r="J103" s="2" t="s">
        <v>15</v>
      </c>
      <c r="K103" s="2" t="s">
        <v>3129</v>
      </c>
    </row>
    <row r="104" spans="1:11" x14ac:dyDescent="0.25">
      <c r="A104" s="2" t="s">
        <v>2822</v>
      </c>
      <c r="B104" s="2" t="str">
        <f>"V1873326714001"</f>
        <v>V1873326714001</v>
      </c>
      <c r="C104" s="2" t="s">
        <v>3130</v>
      </c>
      <c r="D104" s="2" t="s">
        <v>475</v>
      </c>
      <c r="E104" s="2" t="s">
        <v>2903</v>
      </c>
      <c r="F104" s="2" t="s">
        <v>13</v>
      </c>
      <c r="H104" s="2">
        <v>2012</v>
      </c>
      <c r="I104" s="2" t="s">
        <v>3131</v>
      </c>
      <c r="J104" s="2" t="s">
        <v>15</v>
      </c>
      <c r="K104" s="2" t="s">
        <v>3132</v>
      </c>
    </row>
    <row r="105" spans="1:11" x14ac:dyDescent="0.25">
      <c r="A105" s="2" t="s">
        <v>2822</v>
      </c>
      <c r="B105" s="2" t="str">
        <f>"V1873289111001"</f>
        <v>V1873289111001</v>
      </c>
      <c r="C105" s="2" t="s">
        <v>3133</v>
      </c>
      <c r="D105" s="2" t="s">
        <v>475</v>
      </c>
      <c r="E105" s="2" t="s">
        <v>2903</v>
      </c>
      <c r="F105" s="2" t="s">
        <v>13</v>
      </c>
      <c r="H105" s="2">
        <v>2012</v>
      </c>
      <c r="I105" s="2" t="s">
        <v>3134</v>
      </c>
      <c r="J105" s="2" t="s">
        <v>15</v>
      </c>
      <c r="K105" s="2" t="s">
        <v>3135</v>
      </c>
    </row>
    <row r="106" spans="1:11" x14ac:dyDescent="0.25">
      <c r="A106" s="2" t="s">
        <v>2822</v>
      </c>
      <c r="B106" s="2" t="str">
        <f>"V4768134736001"</f>
        <v>V4768134736001</v>
      </c>
      <c r="C106" s="2" t="s">
        <v>3136</v>
      </c>
      <c r="D106" s="2" t="s">
        <v>2172</v>
      </c>
      <c r="E106" s="2" t="s">
        <v>2824</v>
      </c>
      <c r="F106" s="2" t="s">
        <v>13</v>
      </c>
      <c r="H106" s="2">
        <v>2016</v>
      </c>
      <c r="I106" s="2" t="s">
        <v>2825</v>
      </c>
      <c r="J106" s="2" t="s">
        <v>15</v>
      </c>
      <c r="K106" s="2" t="s">
        <v>3137</v>
      </c>
    </row>
    <row r="107" spans="1:11" x14ac:dyDescent="0.25">
      <c r="A107" s="2" t="s">
        <v>2822</v>
      </c>
      <c r="B107" s="2" t="str">
        <f>"V4005352524001"</f>
        <v>V4005352524001</v>
      </c>
      <c r="C107" s="2" t="s">
        <v>3138</v>
      </c>
      <c r="D107" s="2" t="s">
        <v>1922</v>
      </c>
      <c r="E107" s="2" t="s">
        <v>2824</v>
      </c>
      <c r="F107" s="2" t="s">
        <v>13</v>
      </c>
      <c r="H107" s="2">
        <v>2014</v>
      </c>
      <c r="I107" s="2" t="s">
        <v>2828</v>
      </c>
      <c r="J107" s="2" t="s">
        <v>15</v>
      </c>
      <c r="K107" s="2" t="s">
        <v>3139</v>
      </c>
    </row>
    <row r="108" spans="1:11" x14ac:dyDescent="0.25">
      <c r="A108" s="2" t="s">
        <v>2822</v>
      </c>
      <c r="B108" s="2" t="str">
        <f>"V5654128634001"</f>
        <v>V5654128634001</v>
      </c>
      <c r="C108" s="2" t="s">
        <v>3140</v>
      </c>
      <c r="D108" s="2" t="s">
        <v>2394</v>
      </c>
      <c r="E108" s="2" t="s">
        <v>2903</v>
      </c>
      <c r="F108" s="2" t="s">
        <v>13</v>
      </c>
      <c r="H108" s="2">
        <v>2017</v>
      </c>
      <c r="I108" s="2" t="s">
        <v>3141</v>
      </c>
      <c r="J108" s="2" t="s">
        <v>15</v>
      </c>
      <c r="K108" s="2" t="s">
        <v>3142</v>
      </c>
    </row>
    <row r="109" spans="1:11" x14ac:dyDescent="0.25">
      <c r="A109" s="2" t="s">
        <v>2822</v>
      </c>
      <c r="B109" s="2" t="str">
        <f>"V5654122193001"</f>
        <v>V5654122193001</v>
      </c>
      <c r="C109" s="2" t="s">
        <v>3143</v>
      </c>
      <c r="D109" s="2" t="s">
        <v>2394</v>
      </c>
      <c r="E109" s="2" t="s">
        <v>2903</v>
      </c>
      <c r="F109" s="2" t="s">
        <v>13</v>
      </c>
      <c r="H109" s="2">
        <v>2017</v>
      </c>
      <c r="I109" s="2" t="s">
        <v>3144</v>
      </c>
      <c r="J109" s="2" t="s">
        <v>15</v>
      </c>
      <c r="K109" s="2" t="s">
        <v>3145</v>
      </c>
    </row>
    <row r="110" spans="1:11" x14ac:dyDescent="0.25">
      <c r="A110" s="2" t="s">
        <v>2822</v>
      </c>
      <c r="B110" s="2" t="str">
        <f>"V5654128635001"</f>
        <v>V5654128635001</v>
      </c>
      <c r="C110" s="2" t="s">
        <v>3146</v>
      </c>
      <c r="D110" s="2" t="s">
        <v>2394</v>
      </c>
      <c r="E110" s="2" t="s">
        <v>2903</v>
      </c>
      <c r="F110" s="2" t="s">
        <v>13</v>
      </c>
      <c r="H110" s="2">
        <v>2017</v>
      </c>
      <c r="I110" s="2" t="s">
        <v>3147</v>
      </c>
      <c r="J110" s="2" t="s">
        <v>15</v>
      </c>
      <c r="K110" s="2" t="s">
        <v>3148</v>
      </c>
    </row>
    <row r="111" spans="1:11" x14ac:dyDescent="0.25">
      <c r="A111" s="2" t="s">
        <v>2822</v>
      </c>
      <c r="B111" s="2" t="str">
        <f>"V5654139508001"</f>
        <v>V5654139508001</v>
      </c>
      <c r="C111" s="2" t="s">
        <v>3149</v>
      </c>
      <c r="D111" s="2" t="s">
        <v>2394</v>
      </c>
      <c r="E111" s="2" t="s">
        <v>2903</v>
      </c>
      <c r="F111" s="2" t="s">
        <v>13</v>
      </c>
      <c r="H111" s="2">
        <v>2017</v>
      </c>
      <c r="I111" s="2" t="s">
        <v>3150</v>
      </c>
      <c r="J111" s="2" t="s">
        <v>15</v>
      </c>
      <c r="K111" s="2" t="s">
        <v>3151</v>
      </c>
    </row>
    <row r="112" spans="1:11" x14ac:dyDescent="0.25">
      <c r="A112" s="2" t="s">
        <v>2822</v>
      </c>
      <c r="B112" s="2" t="str">
        <f>"V5660240583001"</f>
        <v>V5660240583001</v>
      </c>
      <c r="C112" s="2" t="s">
        <v>3152</v>
      </c>
      <c r="D112" s="2" t="s">
        <v>2394</v>
      </c>
      <c r="E112" s="2" t="s">
        <v>2903</v>
      </c>
      <c r="F112" s="2" t="s">
        <v>13</v>
      </c>
      <c r="H112" s="2">
        <v>2017</v>
      </c>
      <c r="I112" s="2" t="s">
        <v>3153</v>
      </c>
      <c r="J112" s="2" t="s">
        <v>15</v>
      </c>
      <c r="K112" s="2" t="s">
        <v>3154</v>
      </c>
    </row>
    <row r="113" spans="1:11" x14ac:dyDescent="0.25">
      <c r="A113" s="2" t="s">
        <v>2822</v>
      </c>
      <c r="B113" s="2" t="str">
        <f>"V5654130217001"</f>
        <v>V5654130217001</v>
      </c>
      <c r="C113" s="2" t="s">
        <v>3155</v>
      </c>
      <c r="D113" s="2" t="s">
        <v>2394</v>
      </c>
      <c r="E113" s="2" t="s">
        <v>2903</v>
      </c>
      <c r="F113" s="2" t="s">
        <v>13</v>
      </c>
      <c r="H113" s="2">
        <v>2017</v>
      </c>
      <c r="I113" s="2" t="s">
        <v>3156</v>
      </c>
      <c r="J113" s="2" t="s">
        <v>15</v>
      </c>
      <c r="K113" s="2" t="s">
        <v>3157</v>
      </c>
    </row>
    <row r="114" spans="1:11" x14ac:dyDescent="0.25">
      <c r="A114" s="2" t="s">
        <v>2822</v>
      </c>
      <c r="B114" s="2" t="str">
        <f>"V5654141310001"</f>
        <v>V5654141310001</v>
      </c>
      <c r="C114" s="2" t="s">
        <v>3158</v>
      </c>
      <c r="D114" s="2" t="s">
        <v>2394</v>
      </c>
      <c r="E114" s="2" t="s">
        <v>2903</v>
      </c>
      <c r="F114" s="2" t="s">
        <v>13</v>
      </c>
      <c r="H114" s="2">
        <v>2017</v>
      </c>
      <c r="I114" s="2" t="s">
        <v>3159</v>
      </c>
      <c r="J114" s="2" t="s">
        <v>15</v>
      </c>
      <c r="K114" s="2" t="s">
        <v>3160</v>
      </c>
    </row>
    <row r="115" spans="1:11" x14ac:dyDescent="0.25">
      <c r="A115" s="2" t="s">
        <v>2822</v>
      </c>
      <c r="B115" s="2" t="str">
        <f>"V5654139509001"</f>
        <v>V5654139509001</v>
      </c>
      <c r="C115" s="2" t="s">
        <v>3161</v>
      </c>
      <c r="D115" s="2" t="s">
        <v>2394</v>
      </c>
      <c r="E115" s="2" t="s">
        <v>2903</v>
      </c>
      <c r="F115" s="2" t="s">
        <v>13</v>
      </c>
      <c r="H115" s="2">
        <v>2017</v>
      </c>
      <c r="I115" s="2" t="s">
        <v>3162</v>
      </c>
      <c r="J115" s="2" t="s">
        <v>15</v>
      </c>
      <c r="K115" s="2" t="s">
        <v>3163</v>
      </c>
    </row>
    <row r="116" spans="1:11" x14ac:dyDescent="0.25">
      <c r="A116" s="2" t="s">
        <v>2822</v>
      </c>
      <c r="B116" s="2" t="str">
        <f>"V5654136873001"</f>
        <v>V5654136873001</v>
      </c>
      <c r="C116" s="2" t="s">
        <v>3164</v>
      </c>
      <c r="D116" s="2" t="s">
        <v>2394</v>
      </c>
      <c r="E116" s="2" t="s">
        <v>2903</v>
      </c>
      <c r="F116" s="2" t="s">
        <v>13</v>
      </c>
      <c r="H116" s="2">
        <v>2017</v>
      </c>
      <c r="I116" s="2" t="s">
        <v>3165</v>
      </c>
      <c r="J116" s="2" t="s">
        <v>15</v>
      </c>
      <c r="K116" s="2" t="s">
        <v>3166</v>
      </c>
    </row>
    <row r="117" spans="1:11" x14ac:dyDescent="0.25">
      <c r="A117" s="2" t="s">
        <v>2822</v>
      </c>
      <c r="B117" s="2" t="str">
        <f>"V5654136874001"</f>
        <v>V5654136874001</v>
      </c>
      <c r="C117" s="2" t="s">
        <v>3167</v>
      </c>
      <c r="D117" s="2" t="s">
        <v>2394</v>
      </c>
      <c r="E117" s="2" t="s">
        <v>2903</v>
      </c>
      <c r="F117" s="2" t="s">
        <v>13</v>
      </c>
      <c r="H117" s="2">
        <v>2017</v>
      </c>
      <c r="I117" s="2" t="s">
        <v>3168</v>
      </c>
      <c r="J117" s="2" t="s">
        <v>15</v>
      </c>
      <c r="K117" s="2" t="s">
        <v>3169</v>
      </c>
    </row>
    <row r="118" spans="1:11" x14ac:dyDescent="0.25">
      <c r="A118" s="2" t="s">
        <v>2822</v>
      </c>
      <c r="B118" s="2" t="str">
        <f>"V5654136409001"</f>
        <v>V5654136409001</v>
      </c>
      <c r="C118" s="2" t="s">
        <v>3170</v>
      </c>
      <c r="D118" s="2" t="s">
        <v>2394</v>
      </c>
      <c r="E118" s="2" t="s">
        <v>2903</v>
      </c>
      <c r="F118" s="2" t="s">
        <v>13</v>
      </c>
      <c r="H118" s="2">
        <v>2017</v>
      </c>
      <c r="I118" s="2" t="s">
        <v>3171</v>
      </c>
      <c r="J118" s="2" t="s">
        <v>15</v>
      </c>
      <c r="K118" s="2" t="s">
        <v>3172</v>
      </c>
    </row>
    <row r="119" spans="1:11" x14ac:dyDescent="0.25">
      <c r="A119" s="2" t="s">
        <v>2822</v>
      </c>
      <c r="B119" s="2" t="str">
        <f>"V5660256145001"</f>
        <v>V5660256145001</v>
      </c>
      <c r="C119" s="2" t="s">
        <v>3173</v>
      </c>
      <c r="D119" s="2" t="s">
        <v>2394</v>
      </c>
      <c r="E119" s="2" t="s">
        <v>2903</v>
      </c>
      <c r="F119" s="2" t="s">
        <v>13</v>
      </c>
      <c r="H119" s="2">
        <v>2017</v>
      </c>
      <c r="I119" s="2" t="s">
        <v>3174</v>
      </c>
      <c r="J119" s="2" t="s">
        <v>15</v>
      </c>
      <c r="K119" s="2" t="s">
        <v>3175</v>
      </c>
    </row>
    <row r="120" spans="1:11" x14ac:dyDescent="0.25">
      <c r="A120" s="2" t="s">
        <v>2822</v>
      </c>
      <c r="B120" s="2" t="str">
        <f>"V5654130218001"</f>
        <v>V5654130218001</v>
      </c>
      <c r="C120" s="2" t="s">
        <v>3176</v>
      </c>
      <c r="D120" s="2" t="s">
        <v>2394</v>
      </c>
      <c r="E120" s="2" t="s">
        <v>2903</v>
      </c>
      <c r="F120" s="2" t="s">
        <v>13</v>
      </c>
      <c r="H120" s="2">
        <v>2017</v>
      </c>
      <c r="I120" s="2" t="s">
        <v>3177</v>
      </c>
      <c r="J120" s="2" t="s">
        <v>15</v>
      </c>
      <c r="K120" s="2" t="s">
        <v>3178</v>
      </c>
    </row>
    <row r="121" spans="1:11" x14ac:dyDescent="0.25">
      <c r="A121" s="2" t="s">
        <v>2822</v>
      </c>
      <c r="B121" s="2" t="str">
        <f>"V5654114801001"</f>
        <v>V5654114801001</v>
      </c>
      <c r="C121" s="2" t="s">
        <v>3179</v>
      </c>
      <c r="D121" s="2" t="s">
        <v>2394</v>
      </c>
      <c r="E121" s="2" t="s">
        <v>2903</v>
      </c>
      <c r="F121" s="2" t="s">
        <v>13</v>
      </c>
      <c r="H121" s="2">
        <v>2017</v>
      </c>
      <c r="I121" s="2" t="s">
        <v>3180</v>
      </c>
      <c r="J121" s="2" t="s">
        <v>15</v>
      </c>
      <c r="K121" s="2" t="s">
        <v>3181</v>
      </c>
    </row>
    <row r="122" spans="1:11" x14ac:dyDescent="0.25">
      <c r="A122" s="2" t="s">
        <v>2822</v>
      </c>
      <c r="B122" s="2" t="str">
        <f>"V5654131891001"</f>
        <v>V5654131891001</v>
      </c>
      <c r="C122" s="2" t="s">
        <v>3182</v>
      </c>
      <c r="D122" s="2" t="s">
        <v>2394</v>
      </c>
      <c r="E122" s="2" t="s">
        <v>2903</v>
      </c>
      <c r="F122" s="2" t="s">
        <v>13</v>
      </c>
      <c r="H122" s="2">
        <v>2017</v>
      </c>
      <c r="I122" s="2" t="s">
        <v>3183</v>
      </c>
      <c r="J122" s="2" t="s">
        <v>15</v>
      </c>
      <c r="K122" s="2" t="s">
        <v>3184</v>
      </c>
    </row>
    <row r="123" spans="1:11" x14ac:dyDescent="0.25">
      <c r="A123" s="2" t="s">
        <v>2822</v>
      </c>
      <c r="B123" s="2" t="str">
        <f>"V5660256143001"</f>
        <v>V5660256143001</v>
      </c>
      <c r="C123" s="2" t="s">
        <v>3185</v>
      </c>
      <c r="D123" s="2" t="s">
        <v>2394</v>
      </c>
      <c r="E123" s="2" t="s">
        <v>2903</v>
      </c>
      <c r="F123" s="2" t="s">
        <v>13</v>
      </c>
      <c r="H123" s="2">
        <v>2017</v>
      </c>
      <c r="I123" s="2" t="s">
        <v>3186</v>
      </c>
      <c r="J123" s="2" t="s">
        <v>15</v>
      </c>
      <c r="K123" s="2" t="s">
        <v>3187</v>
      </c>
    </row>
    <row r="124" spans="1:11" x14ac:dyDescent="0.25">
      <c r="A124" s="2" t="s">
        <v>2822</v>
      </c>
      <c r="B124" s="2" t="str">
        <f>"V5660252750001"</f>
        <v>V5660252750001</v>
      </c>
      <c r="C124" s="2" t="s">
        <v>3188</v>
      </c>
      <c r="D124" s="2" t="s">
        <v>2394</v>
      </c>
      <c r="E124" s="2" t="s">
        <v>2903</v>
      </c>
      <c r="F124" s="2" t="s">
        <v>13</v>
      </c>
      <c r="H124" s="2">
        <v>2017</v>
      </c>
      <c r="I124" s="2" t="s">
        <v>3189</v>
      </c>
      <c r="J124" s="2" t="s">
        <v>15</v>
      </c>
      <c r="K124" s="2" t="s">
        <v>3190</v>
      </c>
    </row>
    <row r="125" spans="1:11" x14ac:dyDescent="0.25">
      <c r="A125" s="2" t="s">
        <v>2822</v>
      </c>
      <c r="B125" s="2" t="str">
        <f>"V5654131890001"</f>
        <v>V5654131890001</v>
      </c>
      <c r="C125" s="2" t="s">
        <v>3191</v>
      </c>
      <c r="D125" s="2" t="s">
        <v>2394</v>
      </c>
      <c r="E125" s="2" t="s">
        <v>2903</v>
      </c>
      <c r="F125" s="2" t="s">
        <v>13</v>
      </c>
      <c r="H125" s="2">
        <v>2017</v>
      </c>
      <c r="I125" s="2" t="s">
        <v>3192</v>
      </c>
      <c r="J125" s="2" t="s">
        <v>15</v>
      </c>
      <c r="K125" s="2" t="s">
        <v>3193</v>
      </c>
    </row>
    <row r="126" spans="1:11" x14ac:dyDescent="0.25">
      <c r="A126" s="2" t="s">
        <v>2822</v>
      </c>
      <c r="B126" s="2" t="str">
        <f>"V5654137501001"</f>
        <v>V5654137501001</v>
      </c>
      <c r="C126" s="2" t="s">
        <v>3194</v>
      </c>
      <c r="D126" s="2" t="s">
        <v>2394</v>
      </c>
      <c r="E126" s="2" t="s">
        <v>2903</v>
      </c>
      <c r="F126" s="2" t="s">
        <v>13</v>
      </c>
      <c r="H126" s="2">
        <v>2017</v>
      </c>
      <c r="I126" s="2" t="s">
        <v>3195</v>
      </c>
      <c r="J126" s="2" t="s">
        <v>15</v>
      </c>
      <c r="K126" s="2" t="s">
        <v>3196</v>
      </c>
    </row>
    <row r="127" spans="1:11" x14ac:dyDescent="0.25">
      <c r="A127" s="2" t="s">
        <v>2822</v>
      </c>
      <c r="B127" s="2" t="str">
        <f>"V5654128637001"</f>
        <v>V5654128637001</v>
      </c>
      <c r="C127" s="2" t="s">
        <v>3197</v>
      </c>
      <c r="D127" s="2" t="s">
        <v>2394</v>
      </c>
      <c r="E127" s="2" t="s">
        <v>2903</v>
      </c>
      <c r="F127" s="2" t="s">
        <v>13</v>
      </c>
      <c r="H127" s="2">
        <v>2017</v>
      </c>
      <c r="I127" s="2" t="s">
        <v>3198</v>
      </c>
      <c r="J127" s="2" t="s">
        <v>15</v>
      </c>
      <c r="K127" s="2" t="s">
        <v>3199</v>
      </c>
    </row>
    <row r="128" spans="1:11" x14ac:dyDescent="0.25">
      <c r="A128" s="2" t="s">
        <v>2822</v>
      </c>
      <c r="B128" s="2" t="str">
        <f>"V5654136875001"</f>
        <v>V5654136875001</v>
      </c>
      <c r="C128" s="2" t="s">
        <v>3200</v>
      </c>
      <c r="D128" s="2" t="s">
        <v>2394</v>
      </c>
      <c r="E128" s="2" t="s">
        <v>2903</v>
      </c>
      <c r="F128" s="2" t="s">
        <v>13</v>
      </c>
      <c r="H128" s="2">
        <v>2017</v>
      </c>
      <c r="I128" s="2" t="s">
        <v>3201</v>
      </c>
      <c r="J128" s="2" t="s">
        <v>15</v>
      </c>
      <c r="K128" s="2" t="s">
        <v>3202</v>
      </c>
    </row>
    <row r="129" spans="1:11" x14ac:dyDescent="0.25">
      <c r="A129" s="2" t="s">
        <v>2822</v>
      </c>
      <c r="B129" s="2" t="str">
        <f>"V1402374734001"</f>
        <v>V1402374734001</v>
      </c>
      <c r="C129" s="2" t="s">
        <v>3203</v>
      </c>
      <c r="D129" s="2" t="s">
        <v>550</v>
      </c>
      <c r="E129" s="2" t="s">
        <v>3204</v>
      </c>
      <c r="F129" s="2" t="s">
        <v>13</v>
      </c>
      <c r="H129" s="2">
        <v>2011</v>
      </c>
      <c r="I129" s="2" t="s">
        <v>3205</v>
      </c>
      <c r="J129" s="2" t="s">
        <v>15</v>
      </c>
      <c r="K129" s="2" t="s">
        <v>3206</v>
      </c>
    </row>
    <row r="130" spans="1:11" x14ac:dyDescent="0.25">
      <c r="A130" s="2" t="s">
        <v>2822</v>
      </c>
      <c r="B130" s="2" t="str">
        <f>"V1931831096001"</f>
        <v>V1931831096001</v>
      </c>
      <c r="C130" s="2" t="s">
        <v>3207</v>
      </c>
      <c r="D130" s="2" t="s">
        <v>3208</v>
      </c>
      <c r="E130" s="2" t="s">
        <v>2903</v>
      </c>
      <c r="F130" s="2" t="s">
        <v>13</v>
      </c>
      <c r="H130" s="2">
        <v>2012</v>
      </c>
      <c r="I130" s="2" t="s">
        <v>3209</v>
      </c>
      <c r="J130" s="2" t="s">
        <v>15</v>
      </c>
      <c r="K130" s="2" t="s">
        <v>3210</v>
      </c>
    </row>
    <row r="131" spans="1:11" x14ac:dyDescent="0.25">
      <c r="A131" s="2" t="s">
        <v>2822</v>
      </c>
      <c r="B131" s="2" t="str">
        <f>"V1948943120001"</f>
        <v>V1948943120001</v>
      </c>
      <c r="C131" s="2" t="s">
        <v>3211</v>
      </c>
      <c r="D131" s="2" t="s">
        <v>3208</v>
      </c>
      <c r="E131" s="2" t="s">
        <v>2903</v>
      </c>
      <c r="F131" s="2" t="s">
        <v>13</v>
      </c>
      <c r="H131" s="2">
        <v>2012</v>
      </c>
      <c r="I131" s="2" t="s">
        <v>3209</v>
      </c>
      <c r="J131" s="2" t="s">
        <v>15</v>
      </c>
      <c r="K131" s="2" t="s">
        <v>3212</v>
      </c>
    </row>
    <row r="132" spans="1:11" x14ac:dyDescent="0.25">
      <c r="A132" s="2" t="s">
        <v>2822</v>
      </c>
      <c r="B132" s="2" t="str">
        <f>"V1873313008001"</f>
        <v>V1873313008001</v>
      </c>
      <c r="C132" s="2" t="s">
        <v>3213</v>
      </c>
      <c r="D132" s="2" t="s">
        <v>475</v>
      </c>
      <c r="E132" s="2" t="s">
        <v>2903</v>
      </c>
      <c r="F132" s="2" t="s">
        <v>13</v>
      </c>
      <c r="H132" s="2">
        <v>2012</v>
      </c>
      <c r="I132" s="2" t="s">
        <v>3214</v>
      </c>
      <c r="J132" s="2" t="s">
        <v>15</v>
      </c>
      <c r="K132" s="2" t="s">
        <v>3215</v>
      </c>
    </row>
    <row r="133" spans="1:11" x14ac:dyDescent="0.25">
      <c r="A133" s="2" t="s">
        <v>2822</v>
      </c>
      <c r="B133" s="2" t="str">
        <f>"V1873289109001"</f>
        <v>V1873289109001</v>
      </c>
      <c r="C133" s="2" t="s">
        <v>3216</v>
      </c>
      <c r="D133" s="2" t="s">
        <v>475</v>
      </c>
      <c r="E133" s="2" t="s">
        <v>2903</v>
      </c>
      <c r="F133" s="2" t="s">
        <v>13</v>
      </c>
      <c r="H133" s="2">
        <v>2012</v>
      </c>
      <c r="I133" s="2" t="s">
        <v>3217</v>
      </c>
      <c r="J133" s="2" t="s">
        <v>15</v>
      </c>
      <c r="K133" s="2" t="s">
        <v>3218</v>
      </c>
    </row>
    <row r="134" spans="1:11" x14ac:dyDescent="0.25">
      <c r="A134" s="2" t="s">
        <v>2822</v>
      </c>
      <c r="B134" s="2" t="str">
        <f>"V3705246408001"</f>
        <v>V3705246408001</v>
      </c>
      <c r="C134" s="2" t="s">
        <v>3219</v>
      </c>
      <c r="D134" s="2" t="s">
        <v>1919</v>
      </c>
      <c r="E134" s="2" t="s">
        <v>2903</v>
      </c>
      <c r="F134" s="2" t="s">
        <v>13</v>
      </c>
      <c r="H134" s="2">
        <v>2014</v>
      </c>
      <c r="I134" s="2" t="s">
        <v>3220</v>
      </c>
      <c r="J134" s="2" t="s">
        <v>15</v>
      </c>
      <c r="K134" s="2" t="s">
        <v>3221</v>
      </c>
    </row>
    <row r="135" spans="1:11" x14ac:dyDescent="0.25">
      <c r="A135" s="2" t="s">
        <v>2822</v>
      </c>
      <c r="B135" s="2" t="str">
        <f>"V1873326711001"</f>
        <v>V1873326711001</v>
      </c>
      <c r="C135" s="2" t="s">
        <v>3222</v>
      </c>
      <c r="D135" s="2" t="s">
        <v>475</v>
      </c>
      <c r="E135" s="2" t="s">
        <v>2903</v>
      </c>
      <c r="F135" s="2" t="s">
        <v>13</v>
      </c>
      <c r="H135" s="2">
        <v>2012</v>
      </c>
      <c r="I135" s="2" t="s">
        <v>3223</v>
      </c>
      <c r="J135" s="2" t="s">
        <v>15</v>
      </c>
      <c r="K135" s="2" t="s">
        <v>3224</v>
      </c>
    </row>
    <row r="136" spans="1:11" x14ac:dyDescent="0.25">
      <c r="A136" s="2" t="s">
        <v>2822</v>
      </c>
      <c r="B136" s="2" t="str">
        <f>"V1873289106001"</f>
        <v>V1873289106001</v>
      </c>
      <c r="C136" s="2" t="s">
        <v>3225</v>
      </c>
      <c r="D136" s="2" t="s">
        <v>475</v>
      </c>
      <c r="E136" s="2" t="s">
        <v>2903</v>
      </c>
      <c r="F136" s="2" t="s">
        <v>13</v>
      </c>
      <c r="H136" s="2">
        <v>2012</v>
      </c>
      <c r="I136" s="2" t="s">
        <v>3226</v>
      </c>
      <c r="J136" s="2" t="s">
        <v>15</v>
      </c>
      <c r="K136" s="2" t="s">
        <v>3227</v>
      </c>
    </row>
    <row r="137" spans="1:11" x14ac:dyDescent="0.25">
      <c r="A137" s="2" t="s">
        <v>2822</v>
      </c>
      <c r="B137" s="2" t="str">
        <f>"V1836246988001"</f>
        <v>V1836246988001</v>
      </c>
      <c r="C137" s="2" t="s">
        <v>3228</v>
      </c>
      <c r="D137" s="2" t="s">
        <v>3086</v>
      </c>
      <c r="E137" s="2" t="s">
        <v>3087</v>
      </c>
      <c r="F137" s="2" t="s">
        <v>13</v>
      </c>
      <c r="H137" s="2">
        <v>2012</v>
      </c>
      <c r="I137" s="2" t="s">
        <v>3229</v>
      </c>
      <c r="J137" s="2" t="s">
        <v>15</v>
      </c>
      <c r="K137" s="2" t="s">
        <v>3230</v>
      </c>
    </row>
    <row r="138" spans="1:11" x14ac:dyDescent="0.25">
      <c r="A138" s="2" t="s">
        <v>2822</v>
      </c>
      <c r="B138" s="2" t="str">
        <f>"V1402374741001"</f>
        <v>V1402374741001</v>
      </c>
      <c r="C138" s="2" t="s">
        <v>3231</v>
      </c>
      <c r="D138" s="2" t="s">
        <v>2358</v>
      </c>
      <c r="E138" s="2" t="s">
        <v>3232</v>
      </c>
      <c r="F138" s="2" t="s">
        <v>13</v>
      </c>
      <c r="H138" s="2">
        <v>2011</v>
      </c>
      <c r="I138" s="2" t="s">
        <v>3233</v>
      </c>
      <c r="J138" s="2" t="s">
        <v>15</v>
      </c>
      <c r="K138" s="2" t="s">
        <v>3234</v>
      </c>
    </row>
    <row r="139" spans="1:11" x14ac:dyDescent="0.25">
      <c r="A139" s="2" t="s">
        <v>2822</v>
      </c>
      <c r="B139" s="2" t="str">
        <f>"V1402381082001"</f>
        <v>V1402381082001</v>
      </c>
      <c r="C139" s="2" t="s">
        <v>3235</v>
      </c>
      <c r="D139" s="2" t="s">
        <v>2358</v>
      </c>
      <c r="E139" s="2" t="s">
        <v>3232</v>
      </c>
      <c r="F139" s="2" t="s">
        <v>13</v>
      </c>
      <c r="H139" s="2">
        <v>2011</v>
      </c>
      <c r="I139" s="2" t="s">
        <v>3236</v>
      </c>
      <c r="J139" s="2" t="s">
        <v>15</v>
      </c>
      <c r="K139" s="2" t="s">
        <v>3237</v>
      </c>
    </row>
    <row r="140" spans="1:11" x14ac:dyDescent="0.25">
      <c r="A140" s="2" t="s">
        <v>2822</v>
      </c>
      <c r="B140" s="2" t="str">
        <f>"V1402374748001"</f>
        <v>V1402374748001</v>
      </c>
      <c r="C140" s="2" t="s">
        <v>3238</v>
      </c>
      <c r="D140" s="2" t="s">
        <v>2358</v>
      </c>
      <c r="E140" s="2" t="s">
        <v>3232</v>
      </c>
      <c r="F140" s="2" t="s">
        <v>13</v>
      </c>
      <c r="H140" s="2">
        <v>2011</v>
      </c>
      <c r="I140" s="2" t="s">
        <v>3239</v>
      </c>
      <c r="J140" s="2" t="s">
        <v>15</v>
      </c>
      <c r="K140" s="2" t="s">
        <v>3240</v>
      </c>
    </row>
    <row r="141" spans="1:11" x14ac:dyDescent="0.25">
      <c r="A141" s="2" t="s">
        <v>2822</v>
      </c>
      <c r="B141" s="2" t="str">
        <f>"V1402374740001"</f>
        <v>V1402374740001</v>
      </c>
      <c r="C141" s="2" t="s">
        <v>3241</v>
      </c>
      <c r="D141" s="2" t="s">
        <v>2358</v>
      </c>
      <c r="E141" s="2" t="s">
        <v>3232</v>
      </c>
      <c r="F141" s="2" t="s">
        <v>13</v>
      </c>
      <c r="H141" s="2">
        <v>2011</v>
      </c>
      <c r="I141" s="2" t="s">
        <v>3242</v>
      </c>
      <c r="J141" s="2" t="s">
        <v>15</v>
      </c>
      <c r="K141" s="2" t="s">
        <v>3243</v>
      </c>
    </row>
    <row r="142" spans="1:11" x14ac:dyDescent="0.25">
      <c r="A142" s="2" t="s">
        <v>2822</v>
      </c>
      <c r="B142" s="2" t="str">
        <f>"V1402382278001"</f>
        <v>V1402382278001</v>
      </c>
      <c r="C142" s="2" t="s">
        <v>3244</v>
      </c>
      <c r="D142" s="2" t="s">
        <v>2358</v>
      </c>
      <c r="E142" s="2" t="s">
        <v>3232</v>
      </c>
      <c r="F142" s="2" t="s">
        <v>13</v>
      </c>
      <c r="H142" s="2">
        <v>2011</v>
      </c>
      <c r="I142" s="2" t="s">
        <v>3245</v>
      </c>
      <c r="J142" s="2" t="s">
        <v>15</v>
      </c>
      <c r="K142" s="2" t="s">
        <v>3246</v>
      </c>
    </row>
    <row r="143" spans="1:11" x14ac:dyDescent="0.25">
      <c r="A143" s="2" t="s">
        <v>2822</v>
      </c>
      <c r="B143" s="2" t="str">
        <f>"V1402374743001"</f>
        <v>V1402374743001</v>
      </c>
      <c r="C143" s="2" t="s">
        <v>3247</v>
      </c>
      <c r="D143" s="2" t="s">
        <v>2358</v>
      </c>
      <c r="E143" s="2" t="s">
        <v>3232</v>
      </c>
      <c r="F143" s="2" t="s">
        <v>13</v>
      </c>
      <c r="H143" s="2">
        <v>2011</v>
      </c>
      <c r="I143" s="2" t="s">
        <v>3248</v>
      </c>
      <c r="J143" s="2" t="s">
        <v>15</v>
      </c>
      <c r="K143" s="2" t="s">
        <v>3249</v>
      </c>
    </row>
    <row r="144" spans="1:11" x14ac:dyDescent="0.25">
      <c r="A144" s="2" t="s">
        <v>2822</v>
      </c>
      <c r="B144" s="2" t="str">
        <f>"V1402349043001"</f>
        <v>V1402349043001</v>
      </c>
      <c r="C144" s="2" t="s">
        <v>3250</v>
      </c>
      <c r="D144" s="2" t="s">
        <v>2358</v>
      </c>
      <c r="E144" s="2" t="s">
        <v>3232</v>
      </c>
      <c r="F144" s="2" t="s">
        <v>13</v>
      </c>
      <c r="H144" s="2">
        <v>2011</v>
      </c>
      <c r="I144" s="2" t="s">
        <v>3251</v>
      </c>
      <c r="J144" s="2" t="s">
        <v>15</v>
      </c>
      <c r="K144" s="2" t="s">
        <v>3252</v>
      </c>
    </row>
    <row r="145" spans="1:11" x14ac:dyDescent="0.25">
      <c r="A145" s="2" t="s">
        <v>2822</v>
      </c>
      <c r="B145" s="2" t="str">
        <f>"V1402349042001"</f>
        <v>V1402349042001</v>
      </c>
      <c r="C145" s="2" t="s">
        <v>3253</v>
      </c>
      <c r="D145" s="2" t="s">
        <v>2358</v>
      </c>
      <c r="E145" s="2" t="s">
        <v>3232</v>
      </c>
      <c r="F145" s="2" t="s">
        <v>13</v>
      </c>
      <c r="H145" s="2">
        <v>2011</v>
      </c>
      <c r="I145" s="2" t="s">
        <v>3254</v>
      </c>
      <c r="J145" s="2" t="s">
        <v>15</v>
      </c>
      <c r="K145" s="2" t="s">
        <v>3255</v>
      </c>
    </row>
    <row r="146" spans="1:11" x14ac:dyDescent="0.25">
      <c r="A146" s="2" t="s">
        <v>2822</v>
      </c>
      <c r="B146" s="2" t="str">
        <f>"V1836243656001"</f>
        <v>V1836243656001</v>
      </c>
      <c r="C146" s="2" t="s">
        <v>3256</v>
      </c>
      <c r="D146" s="2" t="s">
        <v>3086</v>
      </c>
      <c r="E146" s="2" t="s">
        <v>3087</v>
      </c>
      <c r="F146" s="2" t="s">
        <v>13</v>
      </c>
      <c r="H146" s="2">
        <v>2012</v>
      </c>
      <c r="I146" s="2" t="s">
        <v>3257</v>
      </c>
      <c r="J146" s="2" t="s">
        <v>15</v>
      </c>
      <c r="K146" s="2" t="s">
        <v>3258</v>
      </c>
    </row>
    <row r="147" spans="1:11" x14ac:dyDescent="0.25">
      <c r="A147" s="2" t="s">
        <v>2822</v>
      </c>
      <c r="B147" s="2" t="str">
        <f>"V1836243651001"</f>
        <v>V1836243651001</v>
      </c>
      <c r="C147" s="2" t="s">
        <v>3259</v>
      </c>
      <c r="D147" s="2" t="s">
        <v>3086</v>
      </c>
      <c r="E147" s="2" t="s">
        <v>3087</v>
      </c>
      <c r="F147" s="2" t="s">
        <v>13</v>
      </c>
      <c r="H147" s="2">
        <v>2012</v>
      </c>
      <c r="I147" s="2" t="s">
        <v>3260</v>
      </c>
      <c r="J147" s="2" t="s">
        <v>15</v>
      </c>
      <c r="K147" s="2" t="s">
        <v>3261</v>
      </c>
    </row>
    <row r="148" spans="1:11" x14ac:dyDescent="0.25">
      <c r="A148" s="2" t="s">
        <v>2822</v>
      </c>
      <c r="B148" s="2" t="str">
        <f>"V3705246409001"</f>
        <v>V3705246409001</v>
      </c>
      <c r="C148" s="2" t="s">
        <v>3262</v>
      </c>
      <c r="D148" s="2" t="s">
        <v>1919</v>
      </c>
      <c r="E148" s="2" t="s">
        <v>2903</v>
      </c>
      <c r="F148" s="2" t="s">
        <v>13</v>
      </c>
      <c r="H148" s="2">
        <v>2014</v>
      </c>
      <c r="I148" s="2" t="s">
        <v>3263</v>
      </c>
      <c r="J148" s="2" t="s">
        <v>15</v>
      </c>
      <c r="K148" s="2" t="s">
        <v>3264</v>
      </c>
    </row>
    <row r="149" spans="1:11" x14ac:dyDescent="0.25">
      <c r="A149" s="2" t="s">
        <v>2822</v>
      </c>
      <c r="B149" s="2" t="str">
        <f>"V1836246978001"</f>
        <v>V1836246978001</v>
      </c>
      <c r="C149" s="2" t="s">
        <v>3265</v>
      </c>
      <c r="D149" s="2" t="s">
        <v>3086</v>
      </c>
      <c r="E149" s="2" t="s">
        <v>3232</v>
      </c>
      <c r="F149" s="2" t="s">
        <v>13</v>
      </c>
      <c r="H149" s="2">
        <v>2012</v>
      </c>
      <c r="I149" s="2" t="s">
        <v>3266</v>
      </c>
      <c r="J149" s="2" t="s">
        <v>15</v>
      </c>
      <c r="K149" s="2" t="s">
        <v>3267</v>
      </c>
    </row>
    <row r="150" spans="1:11" x14ac:dyDescent="0.25">
      <c r="A150" s="2" t="s">
        <v>2822</v>
      </c>
      <c r="B150" s="2" t="str">
        <f>"V1402374723001"</f>
        <v>V1402374723001</v>
      </c>
      <c r="C150" s="2" t="s">
        <v>3268</v>
      </c>
      <c r="D150" s="2" t="s">
        <v>550</v>
      </c>
      <c r="E150" s="2" t="s">
        <v>3269</v>
      </c>
      <c r="F150" s="2" t="s">
        <v>13</v>
      </c>
      <c r="H150" s="2">
        <v>2011</v>
      </c>
      <c r="I150" s="2" t="s">
        <v>3270</v>
      </c>
      <c r="J150" s="2" t="s">
        <v>15</v>
      </c>
      <c r="K150" s="2" t="s">
        <v>3271</v>
      </c>
    </row>
    <row r="151" spans="1:11" x14ac:dyDescent="0.25">
      <c r="A151" s="2" t="s">
        <v>2822</v>
      </c>
      <c r="B151" s="2" t="str">
        <f>"V1402381063001"</f>
        <v>V1402381063001</v>
      </c>
      <c r="C151" s="2" t="s">
        <v>3272</v>
      </c>
      <c r="D151" s="2" t="s">
        <v>2358</v>
      </c>
      <c r="E151" s="2" t="s">
        <v>3204</v>
      </c>
      <c r="F151" s="2" t="s">
        <v>13</v>
      </c>
      <c r="H151" s="2">
        <v>2011</v>
      </c>
      <c r="I151" s="2" t="s">
        <v>3273</v>
      </c>
      <c r="J151" s="2" t="s">
        <v>15</v>
      </c>
      <c r="K151" s="2" t="s">
        <v>3274</v>
      </c>
    </row>
    <row r="152" spans="1:11" x14ac:dyDescent="0.25">
      <c r="A152" s="2" t="s">
        <v>2822</v>
      </c>
      <c r="B152" s="2" t="str">
        <f>"V1402349035001"</f>
        <v>V1402349035001</v>
      </c>
      <c r="C152" s="2" t="s">
        <v>3275</v>
      </c>
      <c r="D152" s="2" t="s">
        <v>2358</v>
      </c>
      <c r="E152" s="2" t="s">
        <v>3269</v>
      </c>
      <c r="F152" s="2" t="s">
        <v>13</v>
      </c>
      <c r="H152" s="2">
        <v>2011</v>
      </c>
      <c r="I152" s="2" t="s">
        <v>3276</v>
      </c>
      <c r="J152" s="2" t="s">
        <v>15</v>
      </c>
      <c r="K152" s="2" t="s">
        <v>3277</v>
      </c>
    </row>
    <row r="153" spans="1:11" x14ac:dyDescent="0.25">
      <c r="A153" s="2" t="s">
        <v>2822</v>
      </c>
      <c r="B153" s="2" t="str">
        <f>"V1402349041001"</f>
        <v>V1402349041001</v>
      </c>
      <c r="C153" s="2" t="s">
        <v>3278</v>
      </c>
      <c r="D153" s="2" t="s">
        <v>2358</v>
      </c>
      <c r="E153" s="2" t="s">
        <v>3232</v>
      </c>
      <c r="F153" s="2" t="s">
        <v>13</v>
      </c>
      <c r="H153" s="2">
        <v>2011</v>
      </c>
      <c r="I153" s="2" t="s">
        <v>3279</v>
      </c>
      <c r="J153" s="2" t="s">
        <v>15</v>
      </c>
      <c r="K153" s="2" t="s">
        <v>3280</v>
      </c>
    </row>
    <row r="154" spans="1:11" x14ac:dyDescent="0.25">
      <c r="A154" s="2" t="s">
        <v>2822</v>
      </c>
      <c r="B154" s="2" t="str">
        <f>"V1402374736001"</f>
        <v>V1402374736001</v>
      </c>
      <c r="C154" s="2" t="s">
        <v>3281</v>
      </c>
      <c r="D154" s="2" t="s">
        <v>2358</v>
      </c>
      <c r="E154" s="2" t="s">
        <v>3232</v>
      </c>
      <c r="F154" s="2" t="s">
        <v>13</v>
      </c>
      <c r="H154" s="2">
        <v>2011</v>
      </c>
      <c r="I154" s="2" t="s">
        <v>3282</v>
      </c>
      <c r="J154" s="2" t="s">
        <v>15</v>
      </c>
      <c r="K154" s="2" t="s">
        <v>3283</v>
      </c>
    </row>
    <row r="155" spans="1:11" x14ac:dyDescent="0.25">
      <c r="A155" s="2" t="s">
        <v>2822</v>
      </c>
      <c r="B155" s="2" t="str">
        <f>"V1402349039001"</f>
        <v>V1402349039001</v>
      </c>
      <c r="C155" s="2" t="s">
        <v>3284</v>
      </c>
      <c r="D155" s="2" t="s">
        <v>2358</v>
      </c>
      <c r="E155" s="2" t="s">
        <v>3232</v>
      </c>
      <c r="F155" s="2" t="s">
        <v>13</v>
      </c>
      <c r="H155" s="2">
        <v>2011</v>
      </c>
      <c r="I155" s="2" t="s">
        <v>3285</v>
      </c>
      <c r="J155" s="2" t="s">
        <v>15</v>
      </c>
      <c r="K155" s="2" t="s">
        <v>3286</v>
      </c>
    </row>
    <row r="156" spans="1:11" x14ac:dyDescent="0.25">
      <c r="A156" s="2" t="s">
        <v>2822</v>
      </c>
      <c r="B156" s="2" t="str">
        <f>"V1402349037001"</f>
        <v>V1402349037001</v>
      </c>
      <c r="C156" s="2" t="s">
        <v>3287</v>
      </c>
      <c r="D156" s="2" t="s">
        <v>2358</v>
      </c>
      <c r="E156" s="2" t="s">
        <v>3232</v>
      </c>
      <c r="F156" s="2" t="s">
        <v>13</v>
      </c>
      <c r="H156" s="2">
        <v>2011</v>
      </c>
      <c r="I156" s="2" t="s">
        <v>3288</v>
      </c>
      <c r="J156" s="2" t="s">
        <v>15</v>
      </c>
      <c r="K156" s="2" t="s">
        <v>3289</v>
      </c>
    </row>
    <row r="157" spans="1:11" x14ac:dyDescent="0.25">
      <c r="A157" s="2" t="s">
        <v>2822</v>
      </c>
      <c r="B157" s="2" t="str">
        <f>"V4768153295001"</f>
        <v>V4768153295001</v>
      </c>
      <c r="C157" s="2" t="s">
        <v>3290</v>
      </c>
      <c r="D157" s="2" t="s">
        <v>2172</v>
      </c>
      <c r="E157" s="2" t="s">
        <v>2824</v>
      </c>
      <c r="F157" s="2" t="s">
        <v>13</v>
      </c>
      <c r="H157" s="2">
        <v>2016</v>
      </c>
      <c r="I157" s="2" t="s">
        <v>2825</v>
      </c>
      <c r="J157" s="2" t="s">
        <v>15</v>
      </c>
      <c r="K157" s="2" t="s">
        <v>3291</v>
      </c>
    </row>
    <row r="158" spans="1:11" x14ac:dyDescent="0.25">
      <c r="A158" s="2" t="s">
        <v>2822</v>
      </c>
      <c r="B158" s="2" t="str">
        <f>"V4768153296001"</f>
        <v>V4768153296001</v>
      </c>
      <c r="C158" s="2" t="s">
        <v>3292</v>
      </c>
      <c r="D158" s="2" t="s">
        <v>2172</v>
      </c>
      <c r="E158" s="2" t="s">
        <v>2824</v>
      </c>
      <c r="F158" s="2" t="s">
        <v>13</v>
      </c>
      <c r="H158" s="2">
        <v>2016</v>
      </c>
      <c r="I158" s="2" t="s">
        <v>2825</v>
      </c>
      <c r="J158" s="2" t="s">
        <v>15</v>
      </c>
      <c r="K158" s="2" t="s">
        <v>3293</v>
      </c>
    </row>
    <row r="159" spans="1:11" x14ac:dyDescent="0.25">
      <c r="A159" s="2" t="s">
        <v>2822</v>
      </c>
      <c r="B159" s="2" t="str">
        <f>"V2433899704001"</f>
        <v>V2433899704001</v>
      </c>
      <c r="C159" s="2" t="s">
        <v>3294</v>
      </c>
      <c r="D159" s="2" t="s">
        <v>2910</v>
      </c>
      <c r="E159" s="2" t="s">
        <v>2911</v>
      </c>
      <c r="F159" s="2" t="s">
        <v>13</v>
      </c>
      <c r="H159" s="2">
        <v>2013</v>
      </c>
      <c r="I159" s="2" t="s">
        <v>3295</v>
      </c>
      <c r="J159" s="2" t="s">
        <v>15</v>
      </c>
      <c r="K159" s="2" t="s">
        <v>3296</v>
      </c>
    </row>
    <row r="160" spans="1:11" x14ac:dyDescent="0.25">
      <c r="A160" s="2" t="s">
        <v>2822</v>
      </c>
      <c r="B160" s="2" t="str">
        <f>"V4768134737001"</f>
        <v>V4768134737001</v>
      </c>
      <c r="C160" s="2" t="s">
        <v>3297</v>
      </c>
      <c r="D160" s="2" t="s">
        <v>2172</v>
      </c>
      <c r="E160" s="2" t="s">
        <v>2824</v>
      </c>
      <c r="F160" s="2" t="s">
        <v>13</v>
      </c>
      <c r="H160" s="2">
        <v>2016</v>
      </c>
      <c r="I160" s="2" t="s">
        <v>2825</v>
      </c>
      <c r="J160" s="2" t="s">
        <v>15</v>
      </c>
      <c r="K160" s="2" t="s">
        <v>3298</v>
      </c>
    </row>
    <row r="161" spans="1:11" x14ac:dyDescent="0.25">
      <c r="A161" s="2" t="s">
        <v>2822</v>
      </c>
      <c r="B161" s="2" t="str">
        <f>"V1836229560001"</f>
        <v>V1836229560001</v>
      </c>
      <c r="C161" s="2" t="s">
        <v>3299</v>
      </c>
      <c r="D161" s="2" t="s">
        <v>3086</v>
      </c>
      <c r="E161" s="2" t="s">
        <v>3087</v>
      </c>
      <c r="F161" s="2" t="s">
        <v>13</v>
      </c>
      <c r="H161" s="2">
        <v>2012</v>
      </c>
      <c r="I161" s="2" t="s">
        <v>3300</v>
      </c>
      <c r="J161" s="2" t="s">
        <v>15</v>
      </c>
      <c r="K161" s="2" t="s">
        <v>3301</v>
      </c>
    </row>
    <row r="162" spans="1:11" x14ac:dyDescent="0.25">
      <c r="A162" s="2" t="s">
        <v>2822</v>
      </c>
      <c r="B162" s="2" t="str">
        <f>"V3705246412001"</f>
        <v>V3705246412001</v>
      </c>
      <c r="C162" s="2" t="s">
        <v>3302</v>
      </c>
      <c r="D162" s="2" t="s">
        <v>1919</v>
      </c>
      <c r="E162" s="2" t="s">
        <v>2903</v>
      </c>
      <c r="F162" s="2" t="s">
        <v>13</v>
      </c>
      <c r="H162" s="2">
        <v>2014</v>
      </c>
      <c r="I162" s="2" t="s">
        <v>3303</v>
      </c>
      <c r="J162" s="2" t="s">
        <v>15</v>
      </c>
      <c r="K162" s="2" t="s">
        <v>3304</v>
      </c>
    </row>
    <row r="163" spans="1:11" x14ac:dyDescent="0.25">
      <c r="A163" s="2" t="s">
        <v>2822</v>
      </c>
      <c r="B163" s="2" t="str">
        <f>"V3705146113001"</f>
        <v>V3705146113001</v>
      </c>
      <c r="C163" s="2" t="s">
        <v>3305</v>
      </c>
      <c r="D163" s="2" t="s">
        <v>1919</v>
      </c>
      <c r="E163" s="2" t="s">
        <v>2903</v>
      </c>
      <c r="F163" s="2" t="s">
        <v>13</v>
      </c>
      <c r="H163" s="2">
        <v>2014</v>
      </c>
      <c r="I163" s="2" t="s">
        <v>3306</v>
      </c>
      <c r="J163" s="2" t="s">
        <v>15</v>
      </c>
      <c r="K163" s="2" t="s">
        <v>3307</v>
      </c>
    </row>
    <row r="164" spans="1:11" x14ac:dyDescent="0.25">
      <c r="A164" s="2" t="s">
        <v>2822</v>
      </c>
      <c r="B164" s="2" t="str">
        <f>"V4768289487001"</f>
        <v>V4768289487001</v>
      </c>
      <c r="C164" s="2" t="s">
        <v>3308</v>
      </c>
      <c r="D164" s="2" t="s">
        <v>2172</v>
      </c>
      <c r="E164" s="2" t="s">
        <v>2824</v>
      </c>
      <c r="F164" s="2" t="s">
        <v>13</v>
      </c>
      <c r="H164" s="2">
        <v>2016</v>
      </c>
      <c r="I164" s="2" t="s">
        <v>2825</v>
      </c>
      <c r="J164" s="2" t="s">
        <v>15</v>
      </c>
      <c r="K164" s="2" t="s">
        <v>3309</v>
      </c>
    </row>
    <row r="165" spans="1:11" x14ac:dyDescent="0.25">
      <c r="A165" s="2" t="s">
        <v>2822</v>
      </c>
      <c r="B165" s="2" t="str">
        <f>"V1836243658001"</f>
        <v>V1836243658001</v>
      </c>
      <c r="C165" s="2" t="s">
        <v>3310</v>
      </c>
      <c r="D165" s="2" t="s">
        <v>3086</v>
      </c>
      <c r="E165" s="2" t="s">
        <v>3087</v>
      </c>
      <c r="F165" s="2" t="s">
        <v>13</v>
      </c>
      <c r="H165" s="2">
        <v>2012</v>
      </c>
      <c r="I165" s="2" t="s">
        <v>3311</v>
      </c>
      <c r="J165" s="2" t="s">
        <v>15</v>
      </c>
      <c r="K165" s="2" t="s">
        <v>3312</v>
      </c>
    </row>
    <row r="166" spans="1:11" x14ac:dyDescent="0.25">
      <c r="A166" s="2" t="s">
        <v>2822</v>
      </c>
      <c r="B166" s="2" t="str">
        <f>"V1402345905001"</f>
        <v>V1402345905001</v>
      </c>
      <c r="C166" s="2" t="s">
        <v>3313</v>
      </c>
      <c r="D166" s="2" t="s">
        <v>2358</v>
      </c>
      <c r="E166" s="2" t="s">
        <v>3232</v>
      </c>
      <c r="F166" s="2" t="s">
        <v>13</v>
      </c>
      <c r="H166" s="2">
        <v>2011</v>
      </c>
      <c r="I166" s="2" t="s">
        <v>3314</v>
      </c>
      <c r="J166" s="2" t="s">
        <v>15</v>
      </c>
      <c r="K166" s="2" t="s">
        <v>3315</v>
      </c>
    </row>
    <row r="167" spans="1:11" x14ac:dyDescent="0.25">
      <c r="A167" s="2" t="s">
        <v>2822</v>
      </c>
      <c r="B167" s="2" t="str">
        <f>"V1836229557001"</f>
        <v>V1836229557001</v>
      </c>
      <c r="C167" s="2" t="s">
        <v>3316</v>
      </c>
      <c r="D167" s="2" t="s">
        <v>3086</v>
      </c>
      <c r="E167" s="2" t="s">
        <v>3087</v>
      </c>
      <c r="F167" s="2" t="s">
        <v>13</v>
      </c>
      <c r="H167" s="2">
        <v>2012</v>
      </c>
      <c r="I167" s="2" t="s">
        <v>3317</v>
      </c>
      <c r="J167" s="2" t="s">
        <v>15</v>
      </c>
      <c r="K167" s="2" t="s">
        <v>3318</v>
      </c>
    </row>
    <row r="168" spans="1:11" x14ac:dyDescent="0.25">
      <c r="A168" s="2" t="s">
        <v>2822</v>
      </c>
      <c r="B168" s="2" t="str">
        <f>"V1836395699001"</f>
        <v>V1836395699001</v>
      </c>
      <c r="C168" s="2" t="s">
        <v>3319</v>
      </c>
      <c r="D168" s="2" t="s">
        <v>3086</v>
      </c>
      <c r="E168" s="2" t="s">
        <v>3087</v>
      </c>
      <c r="F168" s="2" t="s">
        <v>13</v>
      </c>
      <c r="H168" s="2">
        <v>2012</v>
      </c>
      <c r="I168" s="2" t="s">
        <v>3320</v>
      </c>
      <c r="J168" s="2" t="s">
        <v>15</v>
      </c>
      <c r="K168" s="2" t="s">
        <v>3321</v>
      </c>
    </row>
    <row r="169" spans="1:11" x14ac:dyDescent="0.25">
      <c r="A169" s="2" t="s">
        <v>2822</v>
      </c>
      <c r="B169" s="2" t="str">
        <f>"V1836413540001"</f>
        <v>V1836413540001</v>
      </c>
      <c r="C169" s="2" t="s">
        <v>3322</v>
      </c>
      <c r="D169" s="2" t="s">
        <v>3086</v>
      </c>
      <c r="E169" s="2" t="s">
        <v>3087</v>
      </c>
      <c r="F169" s="2" t="s">
        <v>13</v>
      </c>
      <c r="H169" s="2">
        <v>2012</v>
      </c>
      <c r="I169" s="2" t="s">
        <v>3323</v>
      </c>
      <c r="J169" s="2" t="s">
        <v>15</v>
      </c>
      <c r="K169" s="2" t="s">
        <v>3324</v>
      </c>
    </row>
    <row r="170" spans="1:11" x14ac:dyDescent="0.25">
      <c r="A170" s="2" t="s">
        <v>2822</v>
      </c>
      <c r="B170" s="2" t="str">
        <f>"V5762523116001"</f>
        <v>V5762523116001</v>
      </c>
      <c r="C170" s="2" t="s">
        <v>3325</v>
      </c>
      <c r="D170" s="2" t="s">
        <v>2511</v>
      </c>
      <c r="E170" s="2" t="s">
        <v>3124</v>
      </c>
      <c r="F170" s="2" t="s">
        <v>13</v>
      </c>
      <c r="H170" s="2">
        <v>2018</v>
      </c>
      <c r="I170" s="2" t="s">
        <v>3326</v>
      </c>
      <c r="J170" s="2" t="s">
        <v>15</v>
      </c>
      <c r="K170" s="2" t="s">
        <v>3327</v>
      </c>
    </row>
    <row r="171" spans="1:11" x14ac:dyDescent="0.25">
      <c r="A171" s="2" t="s">
        <v>2822</v>
      </c>
      <c r="B171" s="2" t="str">
        <f>"V5762521992001"</f>
        <v>V5762521992001</v>
      </c>
      <c r="C171" s="2" t="s">
        <v>3328</v>
      </c>
      <c r="D171" s="2" t="s">
        <v>2511</v>
      </c>
      <c r="E171" s="2" t="s">
        <v>3124</v>
      </c>
      <c r="F171" s="2" t="s">
        <v>13</v>
      </c>
      <c r="H171" s="2">
        <v>2018</v>
      </c>
      <c r="I171" s="2" t="s">
        <v>3329</v>
      </c>
      <c r="J171" s="2" t="s">
        <v>15</v>
      </c>
      <c r="K171" s="2" t="s">
        <v>3330</v>
      </c>
    </row>
    <row r="172" spans="1:11" x14ac:dyDescent="0.25">
      <c r="A172" s="2" t="s">
        <v>2822</v>
      </c>
      <c r="B172" s="2" t="str">
        <f>"V1402382273001"</f>
        <v>V1402382273001</v>
      </c>
      <c r="C172" s="2" t="s">
        <v>3331</v>
      </c>
      <c r="D172" s="2" t="s">
        <v>2358</v>
      </c>
      <c r="E172" s="2" t="s">
        <v>3269</v>
      </c>
      <c r="F172" s="2" t="s">
        <v>13</v>
      </c>
      <c r="H172" s="2">
        <v>2011</v>
      </c>
      <c r="I172" s="2" t="s">
        <v>3332</v>
      </c>
      <c r="J172" s="2" t="s">
        <v>15</v>
      </c>
      <c r="K172" s="2" t="s">
        <v>3333</v>
      </c>
    </row>
    <row r="173" spans="1:11" x14ac:dyDescent="0.25">
      <c r="A173" s="2" t="s">
        <v>2822</v>
      </c>
      <c r="B173" s="2" t="str">
        <f>"V3422515619001"</f>
        <v>V3422515619001</v>
      </c>
      <c r="C173" s="2" t="s">
        <v>3334</v>
      </c>
      <c r="D173" s="2" t="s">
        <v>1727</v>
      </c>
      <c r="E173" s="2" t="s">
        <v>2903</v>
      </c>
      <c r="F173" s="2" t="s">
        <v>13</v>
      </c>
      <c r="H173" s="2">
        <v>2014</v>
      </c>
      <c r="I173" s="2" t="s">
        <v>3335</v>
      </c>
      <c r="J173" s="2" t="s">
        <v>15</v>
      </c>
      <c r="K173" s="2" t="s">
        <v>3336</v>
      </c>
    </row>
    <row r="174" spans="1:11" x14ac:dyDescent="0.25">
      <c r="A174" s="2" t="s">
        <v>2822</v>
      </c>
      <c r="B174" s="2" t="str">
        <f>"V1931838141001"</f>
        <v>V1931838141001</v>
      </c>
      <c r="C174" s="2" t="s">
        <v>3337</v>
      </c>
      <c r="D174" s="2" t="s">
        <v>3208</v>
      </c>
      <c r="E174" s="2" t="s">
        <v>2903</v>
      </c>
      <c r="F174" s="2" t="s">
        <v>13</v>
      </c>
      <c r="H174" s="2">
        <v>2012</v>
      </c>
      <c r="I174" s="2" t="s">
        <v>3338</v>
      </c>
      <c r="J174" s="2" t="s">
        <v>15</v>
      </c>
      <c r="K174" s="2" t="s">
        <v>3339</v>
      </c>
    </row>
    <row r="175" spans="1:11" x14ac:dyDescent="0.25">
      <c r="A175" s="2" t="s">
        <v>2822</v>
      </c>
      <c r="B175" s="2" t="str">
        <f>"V3615833512001"</f>
        <v>V3615833512001</v>
      </c>
      <c r="C175" s="2" t="s">
        <v>3340</v>
      </c>
      <c r="D175" s="2" t="s">
        <v>3111</v>
      </c>
      <c r="E175" s="2" t="s">
        <v>3112</v>
      </c>
      <c r="F175" s="2" t="s">
        <v>13</v>
      </c>
      <c r="H175" s="2">
        <v>2014</v>
      </c>
      <c r="I175" s="2" t="s">
        <v>3341</v>
      </c>
      <c r="J175" s="2" t="s">
        <v>15</v>
      </c>
      <c r="K175" s="2" t="s">
        <v>3342</v>
      </c>
    </row>
    <row r="176" spans="1:11" x14ac:dyDescent="0.25">
      <c r="A176" s="2" t="s">
        <v>2822</v>
      </c>
      <c r="B176" s="2" t="str">
        <f>"V3615833510001"</f>
        <v>V3615833510001</v>
      </c>
      <c r="C176" s="2" t="s">
        <v>3343</v>
      </c>
      <c r="D176" s="2" t="s">
        <v>3111</v>
      </c>
      <c r="E176" s="2" t="s">
        <v>3112</v>
      </c>
      <c r="F176" s="2" t="s">
        <v>13</v>
      </c>
      <c r="H176" s="2">
        <v>2014</v>
      </c>
      <c r="I176" s="2" t="s">
        <v>3344</v>
      </c>
      <c r="J176" s="2" t="s">
        <v>15</v>
      </c>
      <c r="K176" s="2" t="s">
        <v>3345</v>
      </c>
    </row>
    <row r="177" spans="1:11" x14ac:dyDescent="0.25">
      <c r="A177" s="2" t="s">
        <v>2822</v>
      </c>
      <c r="B177" s="2" t="str">
        <f>"V3615833511001"</f>
        <v>V3615833511001</v>
      </c>
      <c r="C177" s="2" t="s">
        <v>3346</v>
      </c>
      <c r="D177" s="2" t="s">
        <v>3111</v>
      </c>
      <c r="E177" s="2" t="s">
        <v>3112</v>
      </c>
      <c r="F177" s="2" t="s">
        <v>13</v>
      </c>
      <c r="H177" s="2">
        <v>2014</v>
      </c>
      <c r="I177" s="2" t="s">
        <v>3347</v>
      </c>
      <c r="J177" s="2" t="s">
        <v>15</v>
      </c>
      <c r="K177" s="2" t="s">
        <v>3348</v>
      </c>
    </row>
    <row r="178" spans="1:11" x14ac:dyDescent="0.25">
      <c r="A178" s="2" t="s">
        <v>2822</v>
      </c>
      <c r="B178" s="2" t="str">
        <f>"V3615833508001"</f>
        <v>V3615833508001</v>
      </c>
      <c r="C178" s="2" t="s">
        <v>3349</v>
      </c>
      <c r="D178" s="2" t="s">
        <v>3111</v>
      </c>
      <c r="E178" s="2" t="s">
        <v>3112</v>
      </c>
      <c r="F178" s="2" t="s">
        <v>13</v>
      </c>
      <c r="H178" s="2">
        <v>2014</v>
      </c>
      <c r="I178" s="2" t="s">
        <v>3350</v>
      </c>
      <c r="J178" s="2" t="s">
        <v>15</v>
      </c>
      <c r="K178" s="2" t="s">
        <v>3351</v>
      </c>
    </row>
    <row r="179" spans="1:11" x14ac:dyDescent="0.25">
      <c r="A179" s="2" t="s">
        <v>2822</v>
      </c>
      <c r="B179" s="2" t="str">
        <f>"V3615833509001"</f>
        <v>V3615833509001</v>
      </c>
      <c r="C179" s="2" t="s">
        <v>3352</v>
      </c>
      <c r="D179" s="2" t="s">
        <v>3111</v>
      </c>
      <c r="E179" s="2" t="s">
        <v>3112</v>
      </c>
      <c r="F179" s="2" t="s">
        <v>13</v>
      </c>
      <c r="H179" s="2">
        <v>2014</v>
      </c>
      <c r="I179" s="2" t="s">
        <v>3353</v>
      </c>
      <c r="J179" s="2" t="s">
        <v>15</v>
      </c>
      <c r="K179" s="2" t="s">
        <v>3354</v>
      </c>
    </row>
    <row r="180" spans="1:11" x14ac:dyDescent="0.25">
      <c r="A180" s="2" t="s">
        <v>2822</v>
      </c>
      <c r="B180" s="2" t="str">
        <f>"V1873313012001"</f>
        <v>V1873313012001</v>
      </c>
      <c r="C180" s="2" t="s">
        <v>3355</v>
      </c>
      <c r="D180" s="2" t="s">
        <v>475</v>
      </c>
      <c r="E180" s="2" t="s">
        <v>2903</v>
      </c>
      <c r="F180" s="2" t="s">
        <v>13</v>
      </c>
      <c r="H180" s="2">
        <v>2012</v>
      </c>
      <c r="I180" s="2" t="s">
        <v>3356</v>
      </c>
      <c r="J180" s="2" t="s">
        <v>15</v>
      </c>
      <c r="K180" s="2" t="s">
        <v>3357</v>
      </c>
    </row>
    <row r="181" spans="1:11" x14ac:dyDescent="0.25">
      <c r="A181" s="2" t="s">
        <v>2822</v>
      </c>
      <c r="B181" s="2" t="str">
        <f>"V1402349031001"</f>
        <v>V1402349031001</v>
      </c>
      <c r="C181" s="2" t="s">
        <v>3358</v>
      </c>
      <c r="D181" s="2" t="s">
        <v>2358</v>
      </c>
      <c r="E181" s="2" t="s">
        <v>3269</v>
      </c>
      <c r="F181" s="2" t="s">
        <v>13</v>
      </c>
      <c r="H181" s="2">
        <v>2011</v>
      </c>
      <c r="I181" s="2" t="s">
        <v>3359</v>
      </c>
      <c r="J181" s="2" t="s">
        <v>15</v>
      </c>
      <c r="K181" s="2" t="s">
        <v>3360</v>
      </c>
    </row>
    <row r="182" spans="1:11" x14ac:dyDescent="0.25">
      <c r="A182" s="2" t="s">
        <v>2822</v>
      </c>
      <c r="B182" s="2" t="str">
        <f>"V2433899707001"</f>
        <v>V2433899707001</v>
      </c>
      <c r="C182" s="2" t="s">
        <v>3361</v>
      </c>
      <c r="D182" s="2" t="s">
        <v>2910</v>
      </c>
      <c r="E182" s="2" t="s">
        <v>2911</v>
      </c>
      <c r="F182" s="2" t="s">
        <v>13</v>
      </c>
      <c r="H182" s="2">
        <v>2013</v>
      </c>
      <c r="I182" s="2" t="s">
        <v>3362</v>
      </c>
      <c r="J182" s="2" t="s">
        <v>15</v>
      </c>
      <c r="K182" s="2" t="s">
        <v>3363</v>
      </c>
    </row>
    <row r="183" spans="1:11" x14ac:dyDescent="0.25">
      <c r="A183" s="2" t="s">
        <v>2822</v>
      </c>
      <c r="B183" s="2" t="str">
        <f>"V5762508271001"</f>
        <v>V5762508271001</v>
      </c>
      <c r="C183" s="2" t="s">
        <v>3364</v>
      </c>
      <c r="D183" s="2" t="s">
        <v>2511</v>
      </c>
      <c r="E183" s="2" t="s">
        <v>3124</v>
      </c>
      <c r="F183" s="2" t="s">
        <v>13</v>
      </c>
      <c r="H183" s="2">
        <v>2018</v>
      </c>
      <c r="I183" s="2" t="s">
        <v>3365</v>
      </c>
      <c r="J183" s="2" t="s">
        <v>15</v>
      </c>
      <c r="K183" s="2" t="s">
        <v>3366</v>
      </c>
    </row>
    <row r="184" spans="1:11" x14ac:dyDescent="0.25">
      <c r="A184" s="2" t="s">
        <v>2822</v>
      </c>
      <c r="B184" s="2" t="str">
        <f>"V3705246410001"</f>
        <v>V3705246410001</v>
      </c>
      <c r="C184" s="2" t="s">
        <v>3367</v>
      </c>
      <c r="D184" s="2" t="s">
        <v>1919</v>
      </c>
      <c r="E184" s="2" t="s">
        <v>2903</v>
      </c>
      <c r="F184" s="2" t="s">
        <v>13</v>
      </c>
      <c r="H184" s="2">
        <v>2014</v>
      </c>
      <c r="I184" s="2" t="s">
        <v>3368</v>
      </c>
      <c r="J184" s="2" t="s">
        <v>15</v>
      </c>
      <c r="K184" s="2" t="s">
        <v>3369</v>
      </c>
    </row>
    <row r="185" spans="1:11" x14ac:dyDescent="0.25">
      <c r="A185" s="2" t="s">
        <v>2822</v>
      </c>
      <c r="B185" s="2" t="str">
        <f>"V3615833521001"</f>
        <v>V3615833521001</v>
      </c>
      <c r="C185" s="2" t="s">
        <v>3370</v>
      </c>
      <c r="D185" s="2" t="s">
        <v>3111</v>
      </c>
      <c r="E185" s="2" t="s">
        <v>3112</v>
      </c>
      <c r="F185" s="2" t="s">
        <v>13</v>
      </c>
      <c r="H185" s="2">
        <v>2014</v>
      </c>
      <c r="I185" s="2" t="s">
        <v>3371</v>
      </c>
      <c r="J185" s="2" t="s">
        <v>15</v>
      </c>
      <c r="K185" s="2" t="s">
        <v>3372</v>
      </c>
    </row>
    <row r="186" spans="1:11" x14ac:dyDescent="0.25">
      <c r="A186" s="2" t="s">
        <v>2822</v>
      </c>
      <c r="B186" s="2" t="str">
        <f>"V2433975071001"</f>
        <v>V2433975071001</v>
      </c>
      <c r="C186" s="2" t="s">
        <v>3373</v>
      </c>
      <c r="D186" s="2" t="s">
        <v>2910</v>
      </c>
      <c r="E186" s="2" t="s">
        <v>2911</v>
      </c>
      <c r="F186" s="2" t="s">
        <v>13</v>
      </c>
      <c r="H186" s="2">
        <v>2013</v>
      </c>
      <c r="I186" s="2" t="s">
        <v>3374</v>
      </c>
      <c r="J186" s="2" t="s">
        <v>15</v>
      </c>
      <c r="K186" s="2" t="s">
        <v>3375</v>
      </c>
    </row>
    <row r="187" spans="1:11" x14ac:dyDescent="0.25">
      <c r="A187" s="2" t="s">
        <v>2822</v>
      </c>
      <c r="B187" s="2" t="str">
        <f>"V2433899705001"</f>
        <v>V2433899705001</v>
      </c>
      <c r="C187" s="2" t="s">
        <v>3376</v>
      </c>
      <c r="D187" s="2" t="s">
        <v>2910</v>
      </c>
      <c r="E187" s="2" t="s">
        <v>2911</v>
      </c>
      <c r="F187" s="2" t="s">
        <v>13</v>
      </c>
      <c r="H187" s="2">
        <v>2013</v>
      </c>
      <c r="I187" s="2" t="s">
        <v>3377</v>
      </c>
      <c r="J187" s="2" t="s">
        <v>15</v>
      </c>
      <c r="K187" s="2" t="s">
        <v>3378</v>
      </c>
    </row>
    <row r="188" spans="1:11" x14ac:dyDescent="0.25">
      <c r="A188" s="2" t="s">
        <v>2822</v>
      </c>
      <c r="B188" s="2" t="str">
        <f>"V1836246973001"</f>
        <v>V1836246973001</v>
      </c>
      <c r="C188" s="2" t="s">
        <v>3379</v>
      </c>
      <c r="D188" s="2" t="s">
        <v>3086</v>
      </c>
      <c r="E188" s="2" t="s">
        <v>3087</v>
      </c>
      <c r="F188" s="2" t="s">
        <v>13</v>
      </c>
      <c r="H188" s="2">
        <v>2012</v>
      </c>
      <c r="I188" s="2" t="s">
        <v>3380</v>
      </c>
      <c r="J188" s="2" t="s">
        <v>15</v>
      </c>
      <c r="K188" s="2" t="s">
        <v>3381</v>
      </c>
    </row>
    <row r="189" spans="1:11" x14ac:dyDescent="0.25">
      <c r="A189" s="2" t="s">
        <v>2822</v>
      </c>
      <c r="B189" s="2" t="str">
        <f>"V1402374724001"</f>
        <v>V1402374724001</v>
      </c>
      <c r="C189" s="2" t="s">
        <v>3382</v>
      </c>
      <c r="D189" s="2" t="s">
        <v>2358</v>
      </c>
      <c r="E189" s="2" t="s">
        <v>3087</v>
      </c>
      <c r="F189" s="2" t="s">
        <v>13</v>
      </c>
      <c r="H189" s="2">
        <v>2011</v>
      </c>
      <c r="I189" s="2" t="s">
        <v>3383</v>
      </c>
      <c r="J189" s="2" t="s">
        <v>15</v>
      </c>
      <c r="K189" s="2" t="s">
        <v>3384</v>
      </c>
    </row>
    <row r="190" spans="1:11" x14ac:dyDescent="0.25">
      <c r="A190" s="2" t="s">
        <v>2822</v>
      </c>
      <c r="B190" s="2" t="str">
        <f>"V3615833518001"</f>
        <v>V3615833518001</v>
      </c>
      <c r="C190" s="2" t="s">
        <v>3385</v>
      </c>
      <c r="D190" s="2" t="s">
        <v>3111</v>
      </c>
      <c r="E190" s="2" t="s">
        <v>3112</v>
      </c>
      <c r="F190" s="2" t="s">
        <v>13</v>
      </c>
      <c r="H190" s="2">
        <v>2014</v>
      </c>
      <c r="I190" s="2" t="s">
        <v>3386</v>
      </c>
      <c r="J190" s="2" t="s">
        <v>15</v>
      </c>
      <c r="K190" s="2" t="s">
        <v>3387</v>
      </c>
    </row>
    <row r="191" spans="1:11" x14ac:dyDescent="0.25">
      <c r="A191" s="2" t="s">
        <v>2822</v>
      </c>
      <c r="B191" s="2" t="str">
        <f>"V3615833519001"</f>
        <v>V3615833519001</v>
      </c>
      <c r="C191" s="2" t="s">
        <v>3388</v>
      </c>
      <c r="D191" s="2" t="s">
        <v>3111</v>
      </c>
      <c r="E191" s="2" t="s">
        <v>3112</v>
      </c>
      <c r="F191" s="2" t="s">
        <v>13</v>
      </c>
      <c r="H191" s="2">
        <v>2014</v>
      </c>
      <c r="I191" s="2" t="s">
        <v>3389</v>
      </c>
      <c r="J191" s="2" t="s">
        <v>15</v>
      </c>
      <c r="K191" s="2" t="s">
        <v>3390</v>
      </c>
    </row>
    <row r="192" spans="1:11" x14ac:dyDescent="0.25">
      <c r="A192" s="2" t="s">
        <v>2822</v>
      </c>
      <c r="B192" s="2" t="str">
        <f>"V1402382276001"</f>
        <v>V1402382276001</v>
      </c>
      <c r="C192" s="2" t="s">
        <v>3391</v>
      </c>
      <c r="D192" s="2" t="s">
        <v>550</v>
      </c>
      <c r="E192" s="2" t="s">
        <v>3269</v>
      </c>
      <c r="F192" s="2" t="s">
        <v>13</v>
      </c>
      <c r="H192" s="2">
        <v>2011</v>
      </c>
      <c r="I192" s="2" t="s">
        <v>3392</v>
      </c>
      <c r="J192" s="2" t="s">
        <v>15</v>
      </c>
      <c r="K192" s="2" t="s">
        <v>3393</v>
      </c>
    </row>
    <row r="193" spans="1:11" x14ac:dyDescent="0.25">
      <c r="A193" s="2" t="s">
        <v>2822</v>
      </c>
      <c r="B193" s="2" t="str">
        <f>"V1836243649001"</f>
        <v>V1836243649001</v>
      </c>
      <c r="C193" s="2" t="s">
        <v>3394</v>
      </c>
      <c r="D193" s="2" t="s">
        <v>3086</v>
      </c>
      <c r="E193" s="2" t="s">
        <v>3232</v>
      </c>
      <c r="F193" s="2" t="s">
        <v>13</v>
      </c>
      <c r="H193" s="2">
        <v>2012</v>
      </c>
      <c r="I193" s="2" t="s">
        <v>3395</v>
      </c>
      <c r="J193" s="2" t="s">
        <v>15</v>
      </c>
      <c r="K193" s="2" t="s">
        <v>3396</v>
      </c>
    </row>
    <row r="194" spans="1:11" x14ac:dyDescent="0.25">
      <c r="A194" s="2" t="s">
        <v>2822</v>
      </c>
      <c r="B194" s="2" t="str">
        <f>"V1402349032001"</f>
        <v>V1402349032001</v>
      </c>
      <c r="C194" s="2" t="s">
        <v>3397</v>
      </c>
      <c r="D194" s="2" t="s">
        <v>2358</v>
      </c>
      <c r="E194" s="2" t="s">
        <v>3204</v>
      </c>
      <c r="F194" s="2" t="s">
        <v>13</v>
      </c>
      <c r="H194" s="2">
        <v>2011</v>
      </c>
      <c r="I194" s="2" t="s">
        <v>3398</v>
      </c>
      <c r="J194" s="2" t="s">
        <v>15</v>
      </c>
      <c r="K194" s="2" t="s">
        <v>3399</v>
      </c>
    </row>
    <row r="195" spans="1:11" x14ac:dyDescent="0.25">
      <c r="A195" s="2" t="s">
        <v>2822</v>
      </c>
      <c r="B195" s="2" t="str">
        <f>"V1836246976001"</f>
        <v>V1836246976001</v>
      </c>
      <c r="C195" s="2" t="s">
        <v>3400</v>
      </c>
      <c r="D195" s="2" t="s">
        <v>3086</v>
      </c>
      <c r="E195" s="2" t="s">
        <v>3232</v>
      </c>
      <c r="F195" s="2" t="s">
        <v>13</v>
      </c>
      <c r="H195" s="2">
        <v>2012</v>
      </c>
      <c r="I195" s="2" t="s">
        <v>3401</v>
      </c>
      <c r="J195" s="2" t="s">
        <v>15</v>
      </c>
      <c r="K195" s="2" t="s">
        <v>3402</v>
      </c>
    </row>
    <row r="196" spans="1:11" x14ac:dyDescent="0.25">
      <c r="A196" s="2" t="s">
        <v>2822</v>
      </c>
      <c r="B196" s="2" t="str">
        <f>"V5762522020001"</f>
        <v>V5762522020001</v>
      </c>
      <c r="C196" s="2" t="s">
        <v>3403</v>
      </c>
      <c r="D196" s="2" t="s">
        <v>2511</v>
      </c>
      <c r="E196" s="2" t="s">
        <v>3124</v>
      </c>
      <c r="F196" s="2" t="s">
        <v>13</v>
      </c>
      <c r="H196" s="2">
        <v>2018</v>
      </c>
      <c r="I196" s="2" t="s">
        <v>3404</v>
      </c>
      <c r="J196" s="2" t="s">
        <v>15</v>
      </c>
      <c r="K196" s="2" t="s">
        <v>3405</v>
      </c>
    </row>
    <row r="197" spans="1:11" x14ac:dyDescent="0.25">
      <c r="A197" s="2" t="s">
        <v>2822</v>
      </c>
      <c r="B197" s="2" t="str">
        <f>"V4768289489001"</f>
        <v>V4768289489001</v>
      </c>
      <c r="C197" s="2" t="s">
        <v>3406</v>
      </c>
      <c r="D197" s="2" t="s">
        <v>2172</v>
      </c>
      <c r="E197" s="2" t="s">
        <v>2824</v>
      </c>
      <c r="F197" s="2" t="s">
        <v>13</v>
      </c>
      <c r="H197" s="2">
        <v>2016</v>
      </c>
      <c r="I197" s="2" t="s">
        <v>2825</v>
      </c>
      <c r="J197" s="2" t="s">
        <v>15</v>
      </c>
      <c r="K197" s="2" t="s">
        <v>3407</v>
      </c>
    </row>
    <row r="198" spans="1:11" x14ac:dyDescent="0.25">
      <c r="A198" s="2" t="s">
        <v>2822</v>
      </c>
      <c r="B198" s="2" t="str">
        <f>"V3615833514001"</f>
        <v>V3615833514001</v>
      </c>
      <c r="C198" s="2" t="s">
        <v>3408</v>
      </c>
      <c r="D198" s="2" t="s">
        <v>3111</v>
      </c>
      <c r="E198" s="2" t="s">
        <v>3112</v>
      </c>
      <c r="F198" s="2" t="s">
        <v>13</v>
      </c>
      <c r="H198" s="2">
        <v>2014</v>
      </c>
      <c r="I198" s="2" t="s">
        <v>3409</v>
      </c>
      <c r="J198" s="2" t="s">
        <v>15</v>
      </c>
      <c r="K198" s="2" t="s">
        <v>3410</v>
      </c>
    </row>
    <row r="199" spans="1:11" x14ac:dyDescent="0.25">
      <c r="A199" s="2" t="s">
        <v>2822</v>
      </c>
      <c r="B199" s="2" t="str">
        <f>"V1873326715001"</f>
        <v>V1873326715001</v>
      </c>
      <c r="C199" s="2" t="s">
        <v>3411</v>
      </c>
      <c r="D199" s="2" t="s">
        <v>475</v>
      </c>
      <c r="E199" s="2" t="s">
        <v>2903</v>
      </c>
      <c r="F199" s="2" t="s">
        <v>13</v>
      </c>
      <c r="H199" s="2">
        <v>2012</v>
      </c>
      <c r="I199" s="2" t="s">
        <v>3412</v>
      </c>
      <c r="J199" s="2" t="s">
        <v>15</v>
      </c>
      <c r="K199" s="2" t="s">
        <v>3413</v>
      </c>
    </row>
    <row r="200" spans="1:11" x14ac:dyDescent="0.25">
      <c r="A200" s="2" t="s">
        <v>2822</v>
      </c>
      <c r="B200" s="2" t="str">
        <f>"V1931831086001"</f>
        <v>V1931831086001</v>
      </c>
      <c r="C200" s="2" t="s">
        <v>3414</v>
      </c>
      <c r="D200" s="2" t="s">
        <v>3208</v>
      </c>
      <c r="E200" s="2" t="s">
        <v>2903</v>
      </c>
      <c r="F200" s="2" t="s">
        <v>13</v>
      </c>
      <c r="H200" s="2">
        <v>2012</v>
      </c>
      <c r="I200" s="2" t="s">
        <v>3415</v>
      </c>
      <c r="J200" s="2" t="s">
        <v>15</v>
      </c>
      <c r="K200" s="2" t="s">
        <v>3416</v>
      </c>
    </row>
    <row r="201" spans="1:11" x14ac:dyDescent="0.25">
      <c r="A201" s="2" t="s">
        <v>2822</v>
      </c>
      <c r="B201" s="2" t="str">
        <f>"V1931838137001"</f>
        <v>V1931838137001</v>
      </c>
      <c r="C201" s="2" t="s">
        <v>3417</v>
      </c>
      <c r="D201" s="2" t="s">
        <v>3208</v>
      </c>
      <c r="E201" s="2" t="s">
        <v>2903</v>
      </c>
      <c r="F201" s="2" t="s">
        <v>13</v>
      </c>
      <c r="H201" s="2">
        <v>2012</v>
      </c>
      <c r="I201" s="2" t="s">
        <v>3418</v>
      </c>
      <c r="J201" s="2" t="s">
        <v>15</v>
      </c>
      <c r="K201" s="2" t="s">
        <v>3419</v>
      </c>
    </row>
    <row r="202" spans="1:11" x14ac:dyDescent="0.25">
      <c r="A202" s="2" t="s">
        <v>2822</v>
      </c>
      <c r="B202" s="2" t="str">
        <f>"V2209878256001"</f>
        <v>V2209878256001</v>
      </c>
      <c r="C202" s="2" t="s">
        <v>3420</v>
      </c>
      <c r="D202" s="2" t="s">
        <v>2317</v>
      </c>
      <c r="E202" s="2" t="s">
        <v>3421</v>
      </c>
      <c r="F202" s="2" t="s">
        <v>13</v>
      </c>
      <c r="H202" s="2">
        <v>2013</v>
      </c>
      <c r="I202" s="2" t="s">
        <v>3422</v>
      </c>
      <c r="J202" s="2" t="s">
        <v>15</v>
      </c>
      <c r="K202" s="2" t="s">
        <v>3423</v>
      </c>
    </row>
    <row r="203" spans="1:11" x14ac:dyDescent="0.25">
      <c r="A203" s="2" t="s">
        <v>2822</v>
      </c>
      <c r="B203" s="2" t="str">
        <f>"V2209870892001"</f>
        <v>V2209870892001</v>
      </c>
      <c r="C203" s="2" t="s">
        <v>3424</v>
      </c>
      <c r="D203" s="2" t="s">
        <v>2317</v>
      </c>
      <c r="E203" s="2" t="s">
        <v>3421</v>
      </c>
      <c r="F203" s="2" t="s">
        <v>13</v>
      </c>
      <c r="H203" s="2">
        <v>2013</v>
      </c>
      <c r="I203" s="2" t="s">
        <v>3425</v>
      </c>
      <c r="J203" s="2" t="s">
        <v>15</v>
      </c>
      <c r="K203" s="2" t="s">
        <v>3426</v>
      </c>
    </row>
    <row r="204" spans="1:11" x14ac:dyDescent="0.25">
      <c r="A204" s="2" t="s">
        <v>2822</v>
      </c>
      <c r="B204" s="2" t="str">
        <f>"V2209880957001"</f>
        <v>V2209880957001</v>
      </c>
      <c r="C204" s="2" t="s">
        <v>3427</v>
      </c>
      <c r="D204" s="2" t="s">
        <v>2317</v>
      </c>
      <c r="E204" s="2" t="s">
        <v>3421</v>
      </c>
      <c r="F204" s="2" t="s">
        <v>13</v>
      </c>
      <c r="H204" s="2">
        <v>2013</v>
      </c>
      <c r="I204" s="2" t="s">
        <v>3428</v>
      </c>
      <c r="J204" s="2" t="s">
        <v>15</v>
      </c>
      <c r="K204" s="2" t="s">
        <v>3429</v>
      </c>
    </row>
    <row r="205" spans="1:11" x14ac:dyDescent="0.25">
      <c r="A205" s="2" t="s">
        <v>2822</v>
      </c>
      <c r="B205" s="2" t="str">
        <f>"V2209878255001"</f>
        <v>V2209878255001</v>
      </c>
      <c r="C205" s="2" t="s">
        <v>3430</v>
      </c>
      <c r="D205" s="2" t="s">
        <v>2317</v>
      </c>
      <c r="E205" s="2" t="s">
        <v>3421</v>
      </c>
      <c r="F205" s="2" t="s">
        <v>13</v>
      </c>
      <c r="H205" s="2">
        <v>2013</v>
      </c>
      <c r="I205" s="2" t="s">
        <v>3431</v>
      </c>
      <c r="J205" s="2" t="s">
        <v>15</v>
      </c>
      <c r="K205" s="2" t="s">
        <v>3432</v>
      </c>
    </row>
    <row r="206" spans="1:11" x14ac:dyDescent="0.25">
      <c r="A206" s="2" t="s">
        <v>2822</v>
      </c>
      <c r="B206" s="2" t="str">
        <f>"V2209870891001"</f>
        <v>V2209870891001</v>
      </c>
      <c r="C206" s="2" t="s">
        <v>3433</v>
      </c>
      <c r="D206" s="2" t="s">
        <v>2317</v>
      </c>
      <c r="E206" s="2" t="s">
        <v>3421</v>
      </c>
      <c r="F206" s="2" t="s">
        <v>13</v>
      </c>
      <c r="H206" s="2">
        <v>2013</v>
      </c>
      <c r="I206" s="2" t="s">
        <v>3434</v>
      </c>
      <c r="J206" s="2" t="s">
        <v>15</v>
      </c>
      <c r="K206" s="2" t="s">
        <v>3435</v>
      </c>
    </row>
    <row r="207" spans="1:11" x14ac:dyDescent="0.25">
      <c r="A207" s="2" t="s">
        <v>2822</v>
      </c>
      <c r="B207" s="2" t="str">
        <f>"V2127114333001"</f>
        <v>V2127114333001</v>
      </c>
      <c r="C207" s="2" t="s">
        <v>3436</v>
      </c>
      <c r="D207" s="2" t="s">
        <v>2317</v>
      </c>
      <c r="E207" s="2" t="s">
        <v>3437</v>
      </c>
      <c r="F207" s="2" t="s">
        <v>13</v>
      </c>
      <c r="H207" s="2">
        <v>2013</v>
      </c>
      <c r="I207" s="2" t="s">
        <v>3438</v>
      </c>
      <c r="J207" s="2" t="s">
        <v>15</v>
      </c>
      <c r="K207" s="2" t="s">
        <v>3439</v>
      </c>
    </row>
    <row r="208" spans="1:11" x14ac:dyDescent="0.25">
      <c r="A208" s="2" t="s">
        <v>2822</v>
      </c>
      <c r="B208" s="2" t="str">
        <f>"V2127151915001"</f>
        <v>V2127151915001</v>
      </c>
      <c r="C208" s="2" t="s">
        <v>3440</v>
      </c>
      <c r="D208" s="2" t="s">
        <v>2317</v>
      </c>
      <c r="E208" s="2" t="s">
        <v>3437</v>
      </c>
      <c r="F208" s="2" t="s">
        <v>13</v>
      </c>
      <c r="H208" s="2">
        <v>2013</v>
      </c>
      <c r="I208" s="2" t="s">
        <v>3441</v>
      </c>
      <c r="J208" s="2" t="s">
        <v>15</v>
      </c>
      <c r="K208" s="2" t="s">
        <v>3442</v>
      </c>
    </row>
    <row r="209" spans="1:11" x14ac:dyDescent="0.25">
      <c r="A209" s="2" t="s">
        <v>2822</v>
      </c>
      <c r="B209" s="2" t="str">
        <f>"V2209870893001"</f>
        <v>V2209870893001</v>
      </c>
      <c r="C209" s="2" t="s">
        <v>3443</v>
      </c>
      <c r="D209" s="2" t="s">
        <v>2317</v>
      </c>
      <c r="E209" s="2" t="s">
        <v>3421</v>
      </c>
      <c r="F209" s="2" t="s">
        <v>13</v>
      </c>
      <c r="H209" s="2">
        <v>2013</v>
      </c>
      <c r="I209" s="2" t="s">
        <v>3444</v>
      </c>
      <c r="J209" s="2" t="s">
        <v>15</v>
      </c>
      <c r="K209" s="2" t="s">
        <v>3445</v>
      </c>
    </row>
    <row r="210" spans="1:11" x14ac:dyDescent="0.25">
      <c r="A210" s="2" t="s">
        <v>2822</v>
      </c>
      <c r="B210" s="2" t="str">
        <f>"V2127151998001"</f>
        <v>V2127151998001</v>
      </c>
      <c r="C210" s="2" t="s">
        <v>3446</v>
      </c>
      <c r="D210" s="2" t="s">
        <v>2317</v>
      </c>
      <c r="E210" s="2" t="s">
        <v>3437</v>
      </c>
      <c r="F210" s="2" t="s">
        <v>13</v>
      </c>
      <c r="H210" s="2">
        <v>2013</v>
      </c>
      <c r="I210" s="2" t="s">
        <v>3447</v>
      </c>
      <c r="J210" s="2" t="s">
        <v>15</v>
      </c>
      <c r="K210" s="2" t="s">
        <v>3448</v>
      </c>
    </row>
    <row r="211" spans="1:11" x14ac:dyDescent="0.25">
      <c r="A211" s="2" t="s">
        <v>2822</v>
      </c>
      <c r="B211" s="2" t="str">
        <f>"V2127151918001"</f>
        <v>V2127151918001</v>
      </c>
      <c r="C211" s="2" t="s">
        <v>3449</v>
      </c>
      <c r="D211" s="2" t="s">
        <v>2317</v>
      </c>
      <c r="E211" s="2" t="s">
        <v>3437</v>
      </c>
      <c r="F211" s="2" t="s">
        <v>13</v>
      </c>
      <c r="H211" s="2">
        <v>2013</v>
      </c>
      <c r="I211" s="2" t="s">
        <v>3450</v>
      </c>
      <c r="J211" s="2" t="s">
        <v>15</v>
      </c>
      <c r="K211" s="2" t="s">
        <v>3451</v>
      </c>
    </row>
    <row r="212" spans="1:11" x14ac:dyDescent="0.25">
      <c r="A212" s="2" t="s">
        <v>2822</v>
      </c>
      <c r="B212" s="2" t="str">
        <f>"V2127145372001"</f>
        <v>V2127145372001</v>
      </c>
      <c r="C212" s="2" t="s">
        <v>3452</v>
      </c>
      <c r="D212" s="2" t="s">
        <v>2317</v>
      </c>
      <c r="E212" s="2" t="s">
        <v>3437</v>
      </c>
      <c r="F212" s="2" t="s">
        <v>13</v>
      </c>
      <c r="H212" s="2">
        <v>2013</v>
      </c>
      <c r="I212" s="2" t="s">
        <v>3453</v>
      </c>
      <c r="J212" s="2" t="s">
        <v>15</v>
      </c>
      <c r="K212" s="2" t="s">
        <v>3454</v>
      </c>
    </row>
    <row r="213" spans="1:11" x14ac:dyDescent="0.25">
      <c r="A213" s="2" t="s">
        <v>2822</v>
      </c>
      <c r="B213" s="2" t="str">
        <f>"V2212318077001"</f>
        <v>V2212318077001</v>
      </c>
      <c r="C213" s="2" t="s">
        <v>3455</v>
      </c>
      <c r="D213" s="2" t="s">
        <v>2317</v>
      </c>
      <c r="E213" s="2" t="s">
        <v>3421</v>
      </c>
      <c r="F213" s="2" t="s">
        <v>13</v>
      </c>
      <c r="H213" s="2">
        <v>2013</v>
      </c>
      <c r="I213" s="2" t="s">
        <v>3456</v>
      </c>
      <c r="J213" s="2" t="s">
        <v>15</v>
      </c>
      <c r="K213" s="2" t="s">
        <v>3457</v>
      </c>
    </row>
    <row r="214" spans="1:11" x14ac:dyDescent="0.25">
      <c r="A214" s="2" t="s">
        <v>2822</v>
      </c>
      <c r="B214" s="2" t="str">
        <f>"V2209880958001"</f>
        <v>V2209880958001</v>
      </c>
      <c r="C214" s="2" t="s">
        <v>3458</v>
      </c>
      <c r="D214" s="2" t="s">
        <v>2317</v>
      </c>
      <c r="E214" s="2" t="s">
        <v>3421</v>
      </c>
      <c r="F214" s="2" t="s">
        <v>13</v>
      </c>
      <c r="H214" s="2">
        <v>2013</v>
      </c>
      <c r="I214" s="2" t="s">
        <v>3459</v>
      </c>
      <c r="J214" s="2" t="s">
        <v>15</v>
      </c>
      <c r="K214" s="2" t="s">
        <v>3460</v>
      </c>
    </row>
    <row r="215" spans="1:11" x14ac:dyDescent="0.25">
      <c r="A215" s="2" t="s">
        <v>2822</v>
      </c>
      <c r="B215" s="2" t="str">
        <f>"V2127114337001"</f>
        <v>V2127114337001</v>
      </c>
      <c r="C215" s="2" t="s">
        <v>3461</v>
      </c>
      <c r="D215" s="2" t="s">
        <v>2317</v>
      </c>
      <c r="E215" s="2" t="s">
        <v>3437</v>
      </c>
      <c r="F215" s="2" t="s">
        <v>13</v>
      </c>
      <c r="H215" s="2">
        <v>2013</v>
      </c>
      <c r="I215" s="2" t="s">
        <v>3462</v>
      </c>
      <c r="J215" s="2" t="s">
        <v>15</v>
      </c>
      <c r="K215" s="2" t="s">
        <v>3463</v>
      </c>
    </row>
    <row r="216" spans="1:11" x14ac:dyDescent="0.25">
      <c r="A216" s="2" t="s">
        <v>2822</v>
      </c>
      <c r="B216" s="2" t="str">
        <f>"V2127114335001"</f>
        <v>V2127114335001</v>
      </c>
      <c r="C216" s="2" t="s">
        <v>3464</v>
      </c>
      <c r="D216" s="2" t="s">
        <v>2317</v>
      </c>
      <c r="E216" s="2" t="s">
        <v>3437</v>
      </c>
      <c r="F216" s="2" t="s">
        <v>13</v>
      </c>
      <c r="H216" s="2">
        <v>2013</v>
      </c>
      <c r="I216" s="2" t="s">
        <v>3465</v>
      </c>
      <c r="J216" s="2" t="s">
        <v>15</v>
      </c>
      <c r="K216" s="2" t="s">
        <v>3466</v>
      </c>
    </row>
    <row r="217" spans="1:11" x14ac:dyDescent="0.25">
      <c r="A217" s="2" t="s">
        <v>2822</v>
      </c>
      <c r="B217" s="2" t="str">
        <f>"V2127137195001"</f>
        <v>V2127137195001</v>
      </c>
      <c r="C217" s="2" t="s">
        <v>3467</v>
      </c>
      <c r="D217" s="2" t="s">
        <v>2317</v>
      </c>
      <c r="E217" s="2" t="s">
        <v>3437</v>
      </c>
      <c r="F217" s="2" t="s">
        <v>13</v>
      </c>
      <c r="H217" s="2">
        <v>2013</v>
      </c>
      <c r="I217" s="2" t="s">
        <v>3468</v>
      </c>
      <c r="J217" s="2" t="s">
        <v>15</v>
      </c>
      <c r="K217" s="2" t="s">
        <v>3469</v>
      </c>
    </row>
    <row r="218" spans="1:11" x14ac:dyDescent="0.25">
      <c r="A218" s="2" t="s">
        <v>2822</v>
      </c>
      <c r="B218" s="2" t="str">
        <f>"V5529327017001"</f>
        <v>V5529327017001</v>
      </c>
      <c r="C218" s="2" t="s">
        <v>3470</v>
      </c>
      <c r="D218" s="2" t="s">
        <v>3471</v>
      </c>
      <c r="E218" s="2" t="s">
        <v>3472</v>
      </c>
      <c r="F218" s="2" t="s">
        <v>13</v>
      </c>
      <c r="H218" s="2">
        <v>2017</v>
      </c>
      <c r="I218" s="2" t="s">
        <v>3473</v>
      </c>
      <c r="J218" s="2" t="s">
        <v>15</v>
      </c>
      <c r="K218" s="2" t="s">
        <v>3474</v>
      </c>
    </row>
    <row r="219" spans="1:11" x14ac:dyDescent="0.25">
      <c r="A219" s="2" t="s">
        <v>2822</v>
      </c>
      <c r="B219" s="2" t="str">
        <f>"V5762523912001"</f>
        <v>V5762523912001</v>
      </c>
      <c r="C219" s="2" t="s">
        <v>3475</v>
      </c>
      <c r="D219" s="2" t="s">
        <v>2511</v>
      </c>
      <c r="E219" s="2" t="s">
        <v>3124</v>
      </c>
      <c r="F219" s="2" t="s">
        <v>13</v>
      </c>
      <c r="H219" s="2">
        <v>2018</v>
      </c>
      <c r="I219" s="2" t="s">
        <v>3476</v>
      </c>
      <c r="J219" s="2" t="s">
        <v>15</v>
      </c>
      <c r="K219" s="2" t="s">
        <v>3477</v>
      </c>
    </row>
    <row r="220" spans="1:11" x14ac:dyDescent="0.25">
      <c r="A220" s="2" t="s">
        <v>2822</v>
      </c>
      <c r="B220" s="2" t="str">
        <f>"V4768180275001"</f>
        <v>V4768180275001</v>
      </c>
      <c r="C220" s="2" t="s">
        <v>3478</v>
      </c>
      <c r="D220" s="2" t="s">
        <v>2172</v>
      </c>
      <c r="E220" s="2" t="s">
        <v>2824</v>
      </c>
      <c r="F220" s="2" t="s">
        <v>13</v>
      </c>
      <c r="H220" s="2">
        <v>2016</v>
      </c>
      <c r="I220" s="2" t="s">
        <v>2825</v>
      </c>
      <c r="J220" s="2" t="s">
        <v>15</v>
      </c>
      <c r="K220" s="2" t="s">
        <v>3479</v>
      </c>
    </row>
    <row r="221" spans="1:11" x14ac:dyDescent="0.25">
      <c r="A221" s="2" t="s">
        <v>2822</v>
      </c>
      <c r="B221" s="2" t="str">
        <f>"V4768289490001"</f>
        <v>V4768289490001</v>
      </c>
      <c r="C221" s="2" t="s">
        <v>3480</v>
      </c>
      <c r="D221" s="2" t="s">
        <v>2172</v>
      </c>
      <c r="E221" s="2" t="s">
        <v>2824</v>
      </c>
      <c r="F221" s="2" t="s">
        <v>13</v>
      </c>
      <c r="H221" s="2">
        <v>2016</v>
      </c>
      <c r="I221" s="2" t="s">
        <v>2825</v>
      </c>
      <c r="J221" s="2" t="s">
        <v>15</v>
      </c>
      <c r="K221" s="2" t="s">
        <v>3481</v>
      </c>
    </row>
    <row r="222" spans="1:11" x14ac:dyDescent="0.25">
      <c r="A222" s="2" t="s">
        <v>2822</v>
      </c>
      <c r="B222" s="2" t="str">
        <f>"V2433899711001"</f>
        <v>V2433899711001</v>
      </c>
      <c r="C222" s="2" t="s">
        <v>3482</v>
      </c>
      <c r="D222" s="2" t="s">
        <v>2910</v>
      </c>
      <c r="E222" s="2" t="s">
        <v>2911</v>
      </c>
      <c r="F222" s="2" t="s">
        <v>13</v>
      </c>
      <c r="H222" s="2">
        <v>2013</v>
      </c>
      <c r="I222" s="2" t="s">
        <v>3483</v>
      </c>
      <c r="J222" s="2" t="s">
        <v>15</v>
      </c>
      <c r="K222" s="2" t="s">
        <v>3484</v>
      </c>
    </row>
    <row r="223" spans="1:11" x14ac:dyDescent="0.25">
      <c r="A223" s="2" t="s">
        <v>2822</v>
      </c>
      <c r="B223" s="2" t="str">
        <f>"V6089742598001"</f>
        <v>V6089742598001</v>
      </c>
      <c r="C223" s="2" t="s">
        <v>3485</v>
      </c>
      <c r="E223" s="2" t="s">
        <v>3486</v>
      </c>
      <c r="F223" s="2" t="s">
        <v>13</v>
      </c>
      <c r="H223" s="2">
        <v>2019</v>
      </c>
      <c r="I223" s="2" t="s">
        <v>3487</v>
      </c>
      <c r="J223" s="2" t="s">
        <v>15</v>
      </c>
      <c r="K223" s="2" t="s">
        <v>3488</v>
      </c>
    </row>
    <row r="224" spans="1:11" x14ac:dyDescent="0.25">
      <c r="A224" s="2" t="s">
        <v>2822</v>
      </c>
      <c r="B224" s="2" t="str">
        <f>"V2433975065001"</f>
        <v>V2433975065001</v>
      </c>
      <c r="C224" s="2" t="s">
        <v>3489</v>
      </c>
      <c r="D224" s="2" t="s">
        <v>2910</v>
      </c>
      <c r="E224" s="2" t="s">
        <v>2911</v>
      </c>
      <c r="F224" s="2" t="s">
        <v>13</v>
      </c>
      <c r="H224" s="2">
        <v>2013</v>
      </c>
      <c r="I224" s="2" t="s">
        <v>3490</v>
      </c>
      <c r="J224" s="2" t="s">
        <v>15</v>
      </c>
      <c r="K224" s="2" t="s">
        <v>3491</v>
      </c>
    </row>
    <row r="225" spans="1:11" x14ac:dyDescent="0.25">
      <c r="A225" s="2" t="s">
        <v>2822</v>
      </c>
      <c r="B225" s="2" t="str">
        <f>"V1402374750001"</f>
        <v>V1402374750001</v>
      </c>
      <c r="C225" s="2" t="s">
        <v>3492</v>
      </c>
      <c r="D225" s="2" t="s">
        <v>2358</v>
      </c>
      <c r="E225" s="2" t="s">
        <v>3232</v>
      </c>
      <c r="F225" s="2" t="s">
        <v>13</v>
      </c>
      <c r="H225" s="2">
        <v>2011</v>
      </c>
      <c r="I225" s="2" t="s">
        <v>3493</v>
      </c>
      <c r="J225" s="2" t="s">
        <v>15</v>
      </c>
      <c r="K225" s="2" t="s">
        <v>3494</v>
      </c>
    </row>
    <row r="226" spans="1:11" x14ac:dyDescent="0.25">
      <c r="A226" s="2" t="s">
        <v>2822</v>
      </c>
      <c r="B226" s="2" t="str">
        <f>"V1402382285001"</f>
        <v>V1402382285001</v>
      </c>
      <c r="C226" s="2" t="s">
        <v>3495</v>
      </c>
      <c r="D226" s="2" t="s">
        <v>2358</v>
      </c>
      <c r="E226" s="2" t="s">
        <v>3232</v>
      </c>
      <c r="F226" s="2" t="s">
        <v>13</v>
      </c>
      <c r="H226" s="2">
        <v>2011</v>
      </c>
      <c r="I226" s="2" t="s">
        <v>3496</v>
      </c>
      <c r="J226" s="2" t="s">
        <v>15</v>
      </c>
      <c r="K226" s="2" t="s">
        <v>3497</v>
      </c>
    </row>
    <row r="227" spans="1:11" x14ac:dyDescent="0.25">
      <c r="A227" s="2" t="s">
        <v>2822</v>
      </c>
      <c r="B227" s="2" t="str">
        <f>"V1402382283001"</f>
        <v>V1402382283001</v>
      </c>
      <c r="C227" s="2" t="s">
        <v>3498</v>
      </c>
      <c r="D227" s="2" t="s">
        <v>2358</v>
      </c>
      <c r="E227" s="2" t="s">
        <v>3232</v>
      </c>
      <c r="F227" s="2" t="s">
        <v>13</v>
      </c>
      <c r="H227" s="2">
        <v>2011</v>
      </c>
      <c r="I227" s="2" t="s">
        <v>3499</v>
      </c>
      <c r="J227" s="2" t="s">
        <v>15</v>
      </c>
      <c r="K227" s="2" t="s">
        <v>3500</v>
      </c>
    </row>
    <row r="228" spans="1:11" x14ac:dyDescent="0.25">
      <c r="A228" s="2" t="s">
        <v>2822</v>
      </c>
      <c r="B228" s="2" t="str">
        <f>"V1402374747001"</f>
        <v>V1402374747001</v>
      </c>
      <c r="C228" s="2" t="s">
        <v>3501</v>
      </c>
      <c r="D228" s="2" t="s">
        <v>2358</v>
      </c>
      <c r="E228" s="2" t="s">
        <v>3232</v>
      </c>
      <c r="F228" s="2" t="s">
        <v>13</v>
      </c>
      <c r="H228" s="2">
        <v>2011</v>
      </c>
      <c r="I228" s="2" t="s">
        <v>3502</v>
      </c>
      <c r="J228" s="2" t="s">
        <v>15</v>
      </c>
      <c r="K228" s="2" t="s">
        <v>3503</v>
      </c>
    </row>
    <row r="229" spans="1:11" x14ac:dyDescent="0.25">
      <c r="A229" s="2" t="s">
        <v>2822</v>
      </c>
      <c r="B229" s="2" t="str">
        <f>"V1402381079001"</f>
        <v>V1402381079001</v>
      </c>
      <c r="C229" s="2" t="s">
        <v>3504</v>
      </c>
      <c r="D229" s="2" t="s">
        <v>2358</v>
      </c>
      <c r="E229" s="2" t="s">
        <v>3232</v>
      </c>
      <c r="F229" s="2" t="s">
        <v>13</v>
      </c>
      <c r="H229" s="2">
        <v>2011</v>
      </c>
      <c r="I229" s="2" t="s">
        <v>3505</v>
      </c>
      <c r="J229" s="2" t="s">
        <v>15</v>
      </c>
      <c r="K229" s="2" t="s">
        <v>3506</v>
      </c>
    </row>
    <row r="230" spans="1:11" x14ac:dyDescent="0.25">
      <c r="A230" s="2" t="s">
        <v>2822</v>
      </c>
      <c r="B230" s="2" t="str">
        <f>"V1402381077001"</f>
        <v>V1402381077001</v>
      </c>
      <c r="C230" s="2" t="s">
        <v>3507</v>
      </c>
      <c r="D230" s="2" t="s">
        <v>2358</v>
      </c>
      <c r="E230" s="2" t="s">
        <v>3232</v>
      </c>
      <c r="F230" s="2" t="s">
        <v>13</v>
      </c>
      <c r="H230" s="2">
        <v>2011</v>
      </c>
      <c r="I230" s="2" t="s">
        <v>3508</v>
      </c>
      <c r="J230" s="2" t="s">
        <v>15</v>
      </c>
      <c r="K230" s="2" t="s">
        <v>3509</v>
      </c>
    </row>
    <row r="231" spans="1:11" x14ac:dyDescent="0.25">
      <c r="A231" s="2" t="s">
        <v>2822</v>
      </c>
      <c r="B231" s="2" t="str">
        <f>"V1402345899001"</f>
        <v>V1402345899001</v>
      </c>
      <c r="C231" s="2" t="s">
        <v>3510</v>
      </c>
      <c r="D231" s="2" t="s">
        <v>2358</v>
      </c>
      <c r="E231" s="2" t="s">
        <v>3232</v>
      </c>
      <c r="F231" s="2" t="s">
        <v>13</v>
      </c>
      <c r="H231" s="2">
        <v>2011</v>
      </c>
      <c r="I231" s="2" t="s">
        <v>3511</v>
      </c>
      <c r="J231" s="2" t="s">
        <v>15</v>
      </c>
      <c r="K231" s="2" t="s">
        <v>3512</v>
      </c>
    </row>
    <row r="232" spans="1:11" x14ac:dyDescent="0.25">
      <c r="A232" s="2" t="s">
        <v>2822</v>
      </c>
      <c r="B232" s="2" t="str">
        <f>"V1402349021001"</f>
        <v>V1402349021001</v>
      </c>
      <c r="C232" s="2" t="s">
        <v>3513</v>
      </c>
      <c r="D232" s="2" t="s">
        <v>2358</v>
      </c>
      <c r="E232" s="2" t="s">
        <v>3232</v>
      </c>
      <c r="F232" s="2" t="s">
        <v>13</v>
      </c>
      <c r="H232" s="2">
        <v>2011</v>
      </c>
      <c r="I232" s="2" t="s">
        <v>3514</v>
      </c>
      <c r="J232" s="2" t="s">
        <v>15</v>
      </c>
      <c r="K232" s="2" t="s">
        <v>3515</v>
      </c>
    </row>
    <row r="233" spans="1:11" x14ac:dyDescent="0.25">
      <c r="A233" s="2" t="s">
        <v>2822</v>
      </c>
      <c r="B233" s="2" t="str">
        <f>"V4199201582001"</f>
        <v>V4199201582001</v>
      </c>
      <c r="C233" s="2" t="s">
        <v>3516</v>
      </c>
      <c r="D233" s="2" t="s">
        <v>3517</v>
      </c>
      <c r="E233" s="2" t="s">
        <v>2915</v>
      </c>
      <c r="F233" s="2" t="s">
        <v>13</v>
      </c>
      <c r="H233" s="2">
        <v>2015</v>
      </c>
      <c r="I233" s="2" t="s">
        <v>3518</v>
      </c>
      <c r="J233" s="2" t="s">
        <v>15</v>
      </c>
      <c r="K233" s="2" t="s">
        <v>3519</v>
      </c>
    </row>
    <row r="234" spans="1:11" x14ac:dyDescent="0.25">
      <c r="A234" s="2" t="s">
        <v>2822</v>
      </c>
      <c r="B234" s="2" t="str">
        <f>"V4199176162001"</f>
        <v>V4199176162001</v>
      </c>
      <c r="C234" s="2" t="s">
        <v>3520</v>
      </c>
      <c r="D234" s="2" t="s">
        <v>3517</v>
      </c>
      <c r="E234" s="2" t="s">
        <v>2915</v>
      </c>
      <c r="F234" s="2" t="s">
        <v>13</v>
      </c>
      <c r="H234" s="2">
        <v>2015</v>
      </c>
      <c r="I234" s="2" t="s">
        <v>3521</v>
      </c>
      <c r="J234" s="2" t="s">
        <v>15</v>
      </c>
      <c r="K234" s="2" t="s">
        <v>3522</v>
      </c>
    </row>
    <row r="235" spans="1:11" x14ac:dyDescent="0.25">
      <c r="A235" s="2" t="s">
        <v>2822</v>
      </c>
      <c r="B235" s="2" t="str">
        <f>"V4199138221001"</f>
        <v>V4199138221001</v>
      </c>
      <c r="C235" s="2" t="s">
        <v>3523</v>
      </c>
      <c r="D235" s="2" t="s">
        <v>1263</v>
      </c>
      <c r="E235" s="2" t="s">
        <v>2915</v>
      </c>
      <c r="F235" s="2" t="s">
        <v>13</v>
      </c>
      <c r="H235" s="2">
        <v>2015</v>
      </c>
      <c r="I235" s="2" t="s">
        <v>3524</v>
      </c>
      <c r="J235" s="2" t="s">
        <v>15</v>
      </c>
      <c r="K235" s="2" t="s">
        <v>3525</v>
      </c>
    </row>
    <row r="236" spans="1:11" x14ac:dyDescent="0.25">
      <c r="A236" s="2" t="s">
        <v>2822</v>
      </c>
      <c r="B236" s="2" t="str">
        <f>"V4199138224001"</f>
        <v>V4199138224001</v>
      </c>
      <c r="C236" s="2" t="s">
        <v>3526</v>
      </c>
      <c r="D236" s="2" t="s">
        <v>3517</v>
      </c>
      <c r="E236" s="2" t="s">
        <v>2915</v>
      </c>
      <c r="F236" s="2" t="s">
        <v>13</v>
      </c>
      <c r="H236" s="2">
        <v>2015</v>
      </c>
      <c r="I236" s="2" t="s">
        <v>3524</v>
      </c>
      <c r="J236" s="2" t="s">
        <v>15</v>
      </c>
      <c r="K236" s="2" t="s">
        <v>3527</v>
      </c>
    </row>
    <row r="237" spans="1:11" x14ac:dyDescent="0.25">
      <c r="A237" s="2" t="s">
        <v>2822</v>
      </c>
      <c r="B237" s="2" t="str">
        <f>"V4199138220001"</f>
        <v>V4199138220001</v>
      </c>
      <c r="C237" s="2" t="s">
        <v>3528</v>
      </c>
      <c r="D237" s="2" t="s">
        <v>3517</v>
      </c>
      <c r="E237" s="2" t="s">
        <v>2915</v>
      </c>
      <c r="F237" s="2" t="s">
        <v>13</v>
      </c>
      <c r="H237" s="2">
        <v>2015</v>
      </c>
      <c r="I237" s="2" t="s">
        <v>3529</v>
      </c>
      <c r="J237" s="2" t="s">
        <v>15</v>
      </c>
      <c r="K237" s="2" t="s">
        <v>3530</v>
      </c>
    </row>
    <row r="238" spans="1:11" x14ac:dyDescent="0.25">
      <c r="A238" s="2" t="s">
        <v>2822</v>
      </c>
      <c r="B238" s="2" t="str">
        <f>"V4199201577001"</f>
        <v>V4199201577001</v>
      </c>
      <c r="C238" s="2" t="s">
        <v>3531</v>
      </c>
      <c r="D238" s="2" t="s">
        <v>3517</v>
      </c>
      <c r="E238" s="2" t="s">
        <v>2915</v>
      </c>
      <c r="F238" s="2" t="s">
        <v>13</v>
      </c>
      <c r="H238" s="2">
        <v>2015</v>
      </c>
      <c r="I238" s="2" t="s">
        <v>3532</v>
      </c>
      <c r="J238" s="2" t="s">
        <v>15</v>
      </c>
      <c r="K238" s="2" t="s">
        <v>3533</v>
      </c>
    </row>
    <row r="239" spans="1:11" x14ac:dyDescent="0.25">
      <c r="A239" s="2" t="s">
        <v>2822</v>
      </c>
      <c r="B239" s="2" t="str">
        <f>"V4199176156001"</f>
        <v>V4199176156001</v>
      </c>
      <c r="C239" s="2" t="s">
        <v>3534</v>
      </c>
      <c r="D239" s="2" t="s">
        <v>1263</v>
      </c>
      <c r="E239" s="2" t="s">
        <v>2915</v>
      </c>
      <c r="F239" s="2" t="s">
        <v>13</v>
      </c>
      <c r="H239" s="2">
        <v>2015</v>
      </c>
      <c r="I239" s="2" t="s">
        <v>3535</v>
      </c>
      <c r="J239" s="2" t="s">
        <v>15</v>
      </c>
      <c r="K239" s="2" t="s">
        <v>3536</v>
      </c>
    </row>
    <row r="240" spans="1:11" x14ac:dyDescent="0.25">
      <c r="A240" s="2" t="s">
        <v>2822</v>
      </c>
      <c r="B240" s="2" t="str">
        <f>"V4199176157001"</f>
        <v>V4199176157001</v>
      </c>
      <c r="C240" s="2" t="s">
        <v>3537</v>
      </c>
      <c r="D240" s="2" t="s">
        <v>1263</v>
      </c>
      <c r="E240" s="2" t="s">
        <v>2915</v>
      </c>
      <c r="F240" s="2" t="s">
        <v>13</v>
      </c>
      <c r="H240" s="2">
        <v>2015</v>
      </c>
      <c r="I240" s="2" t="s">
        <v>3538</v>
      </c>
      <c r="J240" s="2" t="s">
        <v>15</v>
      </c>
      <c r="K240" s="2" t="s">
        <v>3539</v>
      </c>
    </row>
    <row r="241" spans="1:11" x14ac:dyDescent="0.25">
      <c r="A241" s="2" t="s">
        <v>2822</v>
      </c>
      <c r="B241" s="2" t="str">
        <f>"V4199201580001"</f>
        <v>V4199201580001</v>
      </c>
      <c r="C241" s="2" t="s">
        <v>3540</v>
      </c>
      <c r="D241" s="2" t="s">
        <v>1263</v>
      </c>
      <c r="E241" s="2" t="s">
        <v>2915</v>
      </c>
      <c r="F241" s="2" t="s">
        <v>13</v>
      </c>
      <c r="H241" s="2">
        <v>2015</v>
      </c>
      <c r="I241" s="2" t="s">
        <v>3541</v>
      </c>
      <c r="J241" s="2" t="s">
        <v>15</v>
      </c>
      <c r="K241" s="2" t="s">
        <v>3542</v>
      </c>
    </row>
    <row r="242" spans="1:11" x14ac:dyDescent="0.25">
      <c r="A242" s="2" t="s">
        <v>2822</v>
      </c>
      <c r="B242" s="2" t="str">
        <f>"V4620147563001"</f>
        <v>V4620147563001</v>
      </c>
      <c r="C242" s="2" t="s">
        <v>3543</v>
      </c>
      <c r="D242" s="2" t="s">
        <v>1574</v>
      </c>
      <c r="E242" s="2" t="s">
        <v>3544</v>
      </c>
      <c r="F242" s="2" t="s">
        <v>13</v>
      </c>
      <c r="H242" s="2">
        <v>2015</v>
      </c>
      <c r="I242" s="2" t="s">
        <v>3545</v>
      </c>
      <c r="J242" s="2" t="s">
        <v>15</v>
      </c>
      <c r="K242" s="2" t="s">
        <v>3546</v>
      </c>
    </row>
    <row r="243" spans="1:11" x14ac:dyDescent="0.25">
      <c r="A243" s="2" t="s">
        <v>2822</v>
      </c>
      <c r="B243" s="2" t="str">
        <f>"V4620147578001"</f>
        <v>V4620147578001</v>
      </c>
      <c r="C243" s="2" t="s">
        <v>3547</v>
      </c>
      <c r="D243" s="2" t="s">
        <v>1574</v>
      </c>
      <c r="E243" s="2" t="s">
        <v>3544</v>
      </c>
      <c r="F243" s="2" t="s">
        <v>13</v>
      </c>
      <c r="H243" s="2">
        <v>2015</v>
      </c>
      <c r="I243" s="2" t="s">
        <v>3548</v>
      </c>
      <c r="J243" s="2" t="s">
        <v>15</v>
      </c>
      <c r="K243" s="2" t="s">
        <v>3549</v>
      </c>
    </row>
    <row r="244" spans="1:11" x14ac:dyDescent="0.25">
      <c r="A244" s="2" t="s">
        <v>2822</v>
      </c>
      <c r="B244" s="2" t="str">
        <f>"V4620147579001"</f>
        <v>V4620147579001</v>
      </c>
      <c r="C244" s="2" t="s">
        <v>3550</v>
      </c>
      <c r="D244" s="2" t="s">
        <v>1574</v>
      </c>
      <c r="E244" s="2" t="s">
        <v>3544</v>
      </c>
      <c r="F244" s="2" t="s">
        <v>13</v>
      </c>
      <c r="H244" s="2">
        <v>2015</v>
      </c>
      <c r="I244" s="2" t="s">
        <v>3551</v>
      </c>
      <c r="J244" s="2" t="s">
        <v>15</v>
      </c>
      <c r="K244" s="2" t="s">
        <v>3552</v>
      </c>
    </row>
    <row r="245" spans="1:11" x14ac:dyDescent="0.25">
      <c r="A245" s="2" t="s">
        <v>2822</v>
      </c>
      <c r="B245" s="2" t="str">
        <f>"V4620147575001"</f>
        <v>V4620147575001</v>
      </c>
      <c r="C245" s="2" t="s">
        <v>3553</v>
      </c>
      <c r="D245" s="2" t="s">
        <v>1574</v>
      </c>
      <c r="E245" s="2" t="s">
        <v>3544</v>
      </c>
      <c r="F245" s="2" t="s">
        <v>13</v>
      </c>
      <c r="H245" s="2">
        <v>2015</v>
      </c>
      <c r="I245" s="2" t="s">
        <v>3554</v>
      </c>
      <c r="J245" s="2" t="s">
        <v>15</v>
      </c>
      <c r="K245" s="2" t="s">
        <v>3555</v>
      </c>
    </row>
    <row r="246" spans="1:11" x14ac:dyDescent="0.25">
      <c r="A246" s="2" t="s">
        <v>2822</v>
      </c>
      <c r="B246" s="2" t="str">
        <f>"V4620128847001"</f>
        <v>V4620128847001</v>
      </c>
      <c r="C246" s="2" t="s">
        <v>3556</v>
      </c>
      <c r="D246" s="2" t="s">
        <v>1574</v>
      </c>
      <c r="E246" s="2" t="s">
        <v>3544</v>
      </c>
      <c r="F246" s="2" t="s">
        <v>13</v>
      </c>
      <c r="H246" s="2">
        <v>2015</v>
      </c>
      <c r="I246" s="2" t="s">
        <v>3557</v>
      </c>
      <c r="J246" s="2" t="s">
        <v>15</v>
      </c>
      <c r="K246" s="2" t="s">
        <v>3558</v>
      </c>
    </row>
    <row r="247" spans="1:11" x14ac:dyDescent="0.25">
      <c r="A247" s="2" t="s">
        <v>2822</v>
      </c>
      <c r="B247" s="2" t="str">
        <f>"V4620155041001"</f>
        <v>V4620155041001</v>
      </c>
      <c r="C247" s="2" t="s">
        <v>3559</v>
      </c>
      <c r="D247" s="2" t="s">
        <v>1574</v>
      </c>
      <c r="E247" s="2" t="s">
        <v>3544</v>
      </c>
      <c r="F247" s="2" t="s">
        <v>13</v>
      </c>
      <c r="H247" s="2">
        <v>2015</v>
      </c>
      <c r="I247" s="2" t="s">
        <v>3560</v>
      </c>
      <c r="J247" s="2" t="s">
        <v>15</v>
      </c>
      <c r="K247" s="2" t="s">
        <v>3561</v>
      </c>
    </row>
    <row r="248" spans="1:11" x14ac:dyDescent="0.25">
      <c r="A248" s="2" t="s">
        <v>2822</v>
      </c>
      <c r="B248" s="2" t="str">
        <f>"V4620147576001"</f>
        <v>V4620147576001</v>
      </c>
      <c r="C248" s="2" t="s">
        <v>3562</v>
      </c>
      <c r="D248" s="2" t="s">
        <v>1574</v>
      </c>
      <c r="E248" s="2" t="s">
        <v>3544</v>
      </c>
      <c r="F248" s="2" t="s">
        <v>13</v>
      </c>
      <c r="H248" s="2">
        <v>2015</v>
      </c>
      <c r="I248" s="2" t="s">
        <v>3563</v>
      </c>
      <c r="J248" s="2" t="s">
        <v>15</v>
      </c>
      <c r="K248" s="2" t="s">
        <v>3564</v>
      </c>
    </row>
    <row r="249" spans="1:11" x14ac:dyDescent="0.25">
      <c r="A249" s="2" t="s">
        <v>2822</v>
      </c>
      <c r="B249" s="2" t="str">
        <f>"V4620155044001"</f>
        <v>V4620155044001</v>
      </c>
      <c r="C249" s="2" t="s">
        <v>3565</v>
      </c>
      <c r="D249" s="2" t="s">
        <v>1574</v>
      </c>
      <c r="E249" s="2" t="s">
        <v>3544</v>
      </c>
      <c r="F249" s="2" t="s">
        <v>13</v>
      </c>
      <c r="H249" s="2">
        <v>2015</v>
      </c>
      <c r="I249" s="2" t="s">
        <v>3566</v>
      </c>
      <c r="J249" s="2" t="s">
        <v>15</v>
      </c>
      <c r="K249" s="2" t="s">
        <v>3567</v>
      </c>
    </row>
    <row r="250" spans="1:11" x14ac:dyDescent="0.25">
      <c r="A250" s="2" t="s">
        <v>2822</v>
      </c>
      <c r="B250" s="2" t="str">
        <f>"V4620128848001"</f>
        <v>V4620128848001</v>
      </c>
      <c r="C250" s="2" t="s">
        <v>3568</v>
      </c>
      <c r="D250" s="2" t="s">
        <v>1574</v>
      </c>
      <c r="E250" s="2" t="s">
        <v>3544</v>
      </c>
      <c r="F250" s="2" t="s">
        <v>13</v>
      </c>
      <c r="H250" s="2">
        <v>2015</v>
      </c>
      <c r="I250" s="2" t="s">
        <v>3569</v>
      </c>
      <c r="J250" s="2" t="s">
        <v>15</v>
      </c>
      <c r="K250" s="2" t="s">
        <v>3570</v>
      </c>
    </row>
    <row r="251" spans="1:11" x14ac:dyDescent="0.25">
      <c r="A251" s="2" t="s">
        <v>2822</v>
      </c>
      <c r="B251" s="2" t="str">
        <f>"V4620155046001"</f>
        <v>V4620155046001</v>
      </c>
      <c r="C251" s="2" t="s">
        <v>3571</v>
      </c>
      <c r="D251" s="2" t="s">
        <v>1574</v>
      </c>
      <c r="E251" s="2" t="s">
        <v>3544</v>
      </c>
      <c r="F251" s="2" t="s">
        <v>13</v>
      </c>
      <c r="H251" s="2">
        <v>2015</v>
      </c>
      <c r="I251" s="2" t="s">
        <v>3572</v>
      </c>
      <c r="J251" s="2" t="s">
        <v>15</v>
      </c>
      <c r="K251" s="2" t="s">
        <v>3573</v>
      </c>
    </row>
    <row r="252" spans="1:11" x14ac:dyDescent="0.25">
      <c r="A252" s="2" t="s">
        <v>2822</v>
      </c>
      <c r="B252" s="2" t="str">
        <f>"V4620155047001"</f>
        <v>V4620155047001</v>
      </c>
      <c r="C252" s="2" t="s">
        <v>3574</v>
      </c>
      <c r="D252" s="2" t="s">
        <v>1574</v>
      </c>
      <c r="E252" s="2" t="s">
        <v>3544</v>
      </c>
      <c r="F252" s="2" t="s">
        <v>13</v>
      </c>
      <c r="H252" s="2">
        <v>2015</v>
      </c>
      <c r="I252" s="2" t="s">
        <v>3575</v>
      </c>
      <c r="J252" s="2" t="s">
        <v>15</v>
      </c>
      <c r="K252" s="2" t="s">
        <v>3576</v>
      </c>
    </row>
    <row r="253" spans="1:11" x14ac:dyDescent="0.25">
      <c r="A253" s="2" t="s">
        <v>2822</v>
      </c>
      <c r="B253" s="2" t="str">
        <f>"V4620155048001"</f>
        <v>V4620155048001</v>
      </c>
      <c r="C253" s="2" t="s">
        <v>3577</v>
      </c>
      <c r="D253" s="2" t="s">
        <v>1574</v>
      </c>
      <c r="E253" s="2" t="s">
        <v>3544</v>
      </c>
      <c r="F253" s="2" t="s">
        <v>13</v>
      </c>
      <c r="H253" s="2">
        <v>2015</v>
      </c>
      <c r="I253" s="2" t="s">
        <v>3578</v>
      </c>
      <c r="J253" s="2" t="s">
        <v>15</v>
      </c>
      <c r="K253" s="2" t="s">
        <v>3579</v>
      </c>
    </row>
    <row r="254" spans="1:11" x14ac:dyDescent="0.25">
      <c r="A254" s="2" t="s">
        <v>2822</v>
      </c>
      <c r="B254" s="2" t="str">
        <f>"V4620155049001"</f>
        <v>V4620155049001</v>
      </c>
      <c r="C254" s="2" t="s">
        <v>3580</v>
      </c>
      <c r="D254" s="2" t="s">
        <v>1574</v>
      </c>
      <c r="E254" s="2" t="s">
        <v>3544</v>
      </c>
      <c r="F254" s="2" t="s">
        <v>13</v>
      </c>
      <c r="H254" s="2">
        <v>2015</v>
      </c>
      <c r="I254" s="2" t="s">
        <v>3581</v>
      </c>
      <c r="J254" s="2" t="s">
        <v>15</v>
      </c>
      <c r="K254" s="2" t="s">
        <v>3582</v>
      </c>
    </row>
    <row r="255" spans="1:11" x14ac:dyDescent="0.25">
      <c r="A255" s="2" t="s">
        <v>2822</v>
      </c>
      <c r="B255" s="2" t="str">
        <f>"V4620171674001"</f>
        <v>V4620171674001</v>
      </c>
      <c r="C255" s="2" t="s">
        <v>3583</v>
      </c>
      <c r="D255" s="2" t="s">
        <v>1574</v>
      </c>
      <c r="E255" s="2" t="s">
        <v>3544</v>
      </c>
      <c r="F255" s="2" t="s">
        <v>13</v>
      </c>
      <c r="H255" s="2">
        <v>2015</v>
      </c>
      <c r="I255" s="2" t="s">
        <v>3584</v>
      </c>
      <c r="J255" s="2" t="s">
        <v>15</v>
      </c>
      <c r="K255" s="2" t="s">
        <v>3585</v>
      </c>
    </row>
    <row r="256" spans="1:11" x14ac:dyDescent="0.25">
      <c r="A256" s="2" t="s">
        <v>2822</v>
      </c>
      <c r="B256" s="2" t="str">
        <f>"V4620155050001"</f>
        <v>V4620155050001</v>
      </c>
      <c r="C256" s="2" t="s">
        <v>3586</v>
      </c>
      <c r="D256" s="2" t="s">
        <v>1574</v>
      </c>
      <c r="E256" s="2" t="s">
        <v>3544</v>
      </c>
      <c r="F256" s="2" t="s">
        <v>13</v>
      </c>
      <c r="H256" s="2">
        <v>2015</v>
      </c>
      <c r="I256" s="2" t="s">
        <v>3587</v>
      </c>
      <c r="J256" s="2" t="s">
        <v>15</v>
      </c>
      <c r="K256" s="2" t="s">
        <v>3588</v>
      </c>
    </row>
    <row r="257" spans="1:11" x14ac:dyDescent="0.25">
      <c r="A257" s="2" t="s">
        <v>2822</v>
      </c>
      <c r="B257" s="2" t="str">
        <f>"V2812434227001"</f>
        <v>V2812434227001</v>
      </c>
      <c r="C257" s="2" t="s">
        <v>3589</v>
      </c>
      <c r="D257" s="2" t="s">
        <v>752</v>
      </c>
      <c r="E257" s="2" t="s">
        <v>3590</v>
      </c>
      <c r="F257" s="2" t="s">
        <v>13</v>
      </c>
      <c r="H257" s="2">
        <v>2013</v>
      </c>
      <c r="I257" s="2" t="s">
        <v>3591</v>
      </c>
      <c r="J257" s="2" t="s">
        <v>15</v>
      </c>
      <c r="K257" s="2" t="s">
        <v>3592</v>
      </c>
    </row>
    <row r="258" spans="1:11" x14ac:dyDescent="0.25">
      <c r="A258" s="2" t="s">
        <v>2822</v>
      </c>
      <c r="B258" s="2" t="str">
        <f>"V2812434228001"</f>
        <v>V2812434228001</v>
      </c>
      <c r="C258" s="2" t="s">
        <v>3593</v>
      </c>
      <c r="D258" s="2" t="s">
        <v>752</v>
      </c>
      <c r="E258" s="2" t="s">
        <v>3590</v>
      </c>
      <c r="F258" s="2" t="s">
        <v>13</v>
      </c>
      <c r="H258" s="2">
        <v>2013</v>
      </c>
      <c r="I258" s="2" t="s">
        <v>3594</v>
      </c>
      <c r="J258" s="2" t="s">
        <v>15</v>
      </c>
      <c r="K258" s="2" t="s">
        <v>3595</v>
      </c>
    </row>
    <row r="259" spans="1:11" x14ac:dyDescent="0.25">
      <c r="A259" s="2" t="s">
        <v>2822</v>
      </c>
      <c r="B259" s="2" t="str">
        <f>"V2812434229001"</f>
        <v>V2812434229001</v>
      </c>
      <c r="C259" s="2" t="s">
        <v>3596</v>
      </c>
      <c r="D259" s="2" t="s">
        <v>752</v>
      </c>
      <c r="E259" s="2" t="s">
        <v>3590</v>
      </c>
      <c r="F259" s="2" t="s">
        <v>13</v>
      </c>
      <c r="H259" s="2">
        <v>2013</v>
      </c>
      <c r="I259" s="2" t="s">
        <v>3597</v>
      </c>
      <c r="J259" s="2" t="s">
        <v>15</v>
      </c>
      <c r="K259" s="2" t="s">
        <v>3598</v>
      </c>
    </row>
    <row r="260" spans="1:11" x14ac:dyDescent="0.25">
      <c r="A260" s="2" t="s">
        <v>2822</v>
      </c>
      <c r="B260" s="2" t="str">
        <f>"V2812434224001"</f>
        <v>V2812434224001</v>
      </c>
      <c r="C260" s="2" t="s">
        <v>3599</v>
      </c>
      <c r="D260" s="2" t="s">
        <v>752</v>
      </c>
      <c r="E260" s="2" t="s">
        <v>3590</v>
      </c>
      <c r="F260" s="2" t="s">
        <v>13</v>
      </c>
      <c r="H260" s="2">
        <v>2013</v>
      </c>
      <c r="I260" s="2" t="s">
        <v>3600</v>
      </c>
      <c r="J260" s="2" t="s">
        <v>15</v>
      </c>
      <c r="K260" s="2" t="s">
        <v>3601</v>
      </c>
    </row>
    <row r="261" spans="1:11" x14ac:dyDescent="0.25">
      <c r="A261" s="2" t="s">
        <v>2822</v>
      </c>
      <c r="B261" s="2" t="str">
        <f>"V2812434225001"</f>
        <v>V2812434225001</v>
      </c>
      <c r="C261" s="2" t="s">
        <v>3602</v>
      </c>
      <c r="D261" s="2" t="s">
        <v>752</v>
      </c>
      <c r="E261" s="2" t="s">
        <v>3590</v>
      </c>
      <c r="F261" s="2" t="s">
        <v>13</v>
      </c>
      <c r="H261" s="2">
        <v>2013</v>
      </c>
      <c r="I261" s="2" t="s">
        <v>3603</v>
      </c>
      <c r="J261" s="2" t="s">
        <v>15</v>
      </c>
      <c r="K261" s="2" t="s">
        <v>3604</v>
      </c>
    </row>
    <row r="262" spans="1:11" x14ac:dyDescent="0.25">
      <c r="A262" s="2" t="s">
        <v>2822</v>
      </c>
      <c r="B262" s="2" t="str">
        <f>"V2812434226001"</f>
        <v>V2812434226001</v>
      </c>
      <c r="C262" s="2" t="s">
        <v>3605</v>
      </c>
      <c r="D262" s="2" t="s">
        <v>752</v>
      </c>
      <c r="E262" s="2" t="s">
        <v>3590</v>
      </c>
      <c r="F262" s="2" t="s">
        <v>13</v>
      </c>
      <c r="H262" s="2">
        <v>2013</v>
      </c>
      <c r="I262" s="2" t="s">
        <v>3606</v>
      </c>
      <c r="J262" s="2" t="s">
        <v>15</v>
      </c>
      <c r="K262" s="2" t="s">
        <v>3607</v>
      </c>
    </row>
    <row r="263" spans="1:11" x14ac:dyDescent="0.25">
      <c r="A263" s="2" t="s">
        <v>2822</v>
      </c>
      <c r="B263" s="2" t="str">
        <f>"V2812434215001"</f>
        <v>V2812434215001</v>
      </c>
      <c r="C263" s="2" t="s">
        <v>3608</v>
      </c>
      <c r="D263" s="2" t="s">
        <v>752</v>
      </c>
      <c r="E263" s="2" t="s">
        <v>3590</v>
      </c>
      <c r="F263" s="2" t="s">
        <v>13</v>
      </c>
      <c r="H263" s="2">
        <v>2013</v>
      </c>
      <c r="I263" s="2" t="s">
        <v>3609</v>
      </c>
      <c r="J263" s="2" t="s">
        <v>15</v>
      </c>
      <c r="K263" s="2" t="s">
        <v>3610</v>
      </c>
    </row>
    <row r="264" spans="1:11" x14ac:dyDescent="0.25">
      <c r="A264" s="2" t="s">
        <v>2822</v>
      </c>
      <c r="B264" s="2" t="str">
        <f>"V2812434220001"</f>
        <v>V2812434220001</v>
      </c>
      <c r="C264" s="2" t="s">
        <v>3611</v>
      </c>
      <c r="D264" s="2" t="s">
        <v>752</v>
      </c>
      <c r="E264" s="2" t="s">
        <v>3590</v>
      </c>
      <c r="F264" s="2" t="s">
        <v>13</v>
      </c>
      <c r="H264" s="2">
        <v>2013</v>
      </c>
      <c r="I264" s="2" t="s">
        <v>3612</v>
      </c>
      <c r="J264" s="2" t="s">
        <v>15</v>
      </c>
      <c r="K264" s="2" t="s">
        <v>3613</v>
      </c>
    </row>
    <row r="265" spans="1:11" x14ac:dyDescent="0.25">
      <c r="A265" s="2" t="s">
        <v>2822</v>
      </c>
      <c r="B265" s="2" t="str">
        <f>"V2812434221001"</f>
        <v>V2812434221001</v>
      </c>
      <c r="C265" s="2" t="s">
        <v>3614</v>
      </c>
      <c r="D265" s="2" t="s">
        <v>752</v>
      </c>
      <c r="E265" s="2" t="s">
        <v>3590</v>
      </c>
      <c r="F265" s="2" t="s">
        <v>13</v>
      </c>
      <c r="H265" s="2">
        <v>2013</v>
      </c>
      <c r="I265" s="2" t="s">
        <v>3615</v>
      </c>
      <c r="J265" s="2" t="s">
        <v>15</v>
      </c>
      <c r="K265" s="2" t="s">
        <v>3616</v>
      </c>
    </row>
    <row r="266" spans="1:11" x14ac:dyDescent="0.25">
      <c r="A266" s="2" t="s">
        <v>2822</v>
      </c>
      <c r="B266" s="2" t="str">
        <f>"V2812434222001"</f>
        <v>V2812434222001</v>
      </c>
      <c r="C266" s="2" t="s">
        <v>3617</v>
      </c>
      <c r="D266" s="2" t="s">
        <v>752</v>
      </c>
      <c r="E266" s="2" t="s">
        <v>3590</v>
      </c>
      <c r="F266" s="2" t="s">
        <v>13</v>
      </c>
      <c r="H266" s="2">
        <v>2013</v>
      </c>
      <c r="I266" s="2" t="s">
        <v>3618</v>
      </c>
      <c r="J266" s="2" t="s">
        <v>15</v>
      </c>
      <c r="K266" s="2" t="s">
        <v>3619</v>
      </c>
    </row>
    <row r="267" spans="1:11" x14ac:dyDescent="0.25">
      <c r="A267" s="2" t="s">
        <v>2822</v>
      </c>
      <c r="B267" s="2" t="str">
        <f>"V2812434216001"</f>
        <v>V2812434216001</v>
      </c>
      <c r="C267" s="2" t="s">
        <v>3620</v>
      </c>
      <c r="D267" s="2" t="s">
        <v>752</v>
      </c>
      <c r="E267" s="2" t="s">
        <v>3590</v>
      </c>
      <c r="F267" s="2" t="s">
        <v>13</v>
      </c>
      <c r="H267" s="2">
        <v>2013</v>
      </c>
      <c r="I267" s="2" t="s">
        <v>3621</v>
      </c>
      <c r="J267" s="2" t="s">
        <v>15</v>
      </c>
      <c r="K267" s="2" t="s">
        <v>3622</v>
      </c>
    </row>
    <row r="268" spans="1:11" x14ac:dyDescent="0.25">
      <c r="A268" s="2" t="s">
        <v>2822</v>
      </c>
      <c r="B268" s="2" t="str">
        <f>"V2812434223001"</f>
        <v>V2812434223001</v>
      </c>
      <c r="C268" s="2" t="s">
        <v>3623</v>
      </c>
      <c r="D268" s="2" t="s">
        <v>752</v>
      </c>
      <c r="E268" s="2" t="s">
        <v>3590</v>
      </c>
      <c r="F268" s="2" t="s">
        <v>13</v>
      </c>
      <c r="H268" s="2">
        <v>2013</v>
      </c>
      <c r="I268" s="2" t="s">
        <v>3624</v>
      </c>
      <c r="J268" s="2" t="s">
        <v>15</v>
      </c>
      <c r="K268" s="2" t="s">
        <v>3625</v>
      </c>
    </row>
    <row r="269" spans="1:11" x14ac:dyDescent="0.25">
      <c r="A269" s="2" t="s">
        <v>2822</v>
      </c>
      <c r="B269" s="2" t="str">
        <f>"V2812434217001"</f>
        <v>V2812434217001</v>
      </c>
      <c r="C269" s="2" t="s">
        <v>3626</v>
      </c>
      <c r="D269" s="2" t="s">
        <v>752</v>
      </c>
      <c r="E269" s="2" t="s">
        <v>3590</v>
      </c>
      <c r="F269" s="2" t="s">
        <v>13</v>
      </c>
      <c r="H269" s="2">
        <v>2013</v>
      </c>
      <c r="I269" s="2" t="s">
        <v>3627</v>
      </c>
      <c r="J269" s="2" t="s">
        <v>15</v>
      </c>
      <c r="K269" s="2" t="s">
        <v>3628</v>
      </c>
    </row>
    <row r="270" spans="1:11" x14ac:dyDescent="0.25">
      <c r="A270" s="2" t="s">
        <v>2822</v>
      </c>
      <c r="B270" s="2" t="str">
        <f>"V2812434218001"</f>
        <v>V2812434218001</v>
      </c>
      <c r="C270" s="2" t="s">
        <v>3629</v>
      </c>
      <c r="D270" s="2" t="s">
        <v>752</v>
      </c>
      <c r="E270" s="2" t="s">
        <v>3590</v>
      </c>
      <c r="F270" s="2" t="s">
        <v>13</v>
      </c>
      <c r="H270" s="2">
        <v>2013</v>
      </c>
      <c r="I270" s="2" t="s">
        <v>3630</v>
      </c>
      <c r="J270" s="2" t="s">
        <v>15</v>
      </c>
      <c r="K270" s="2" t="s">
        <v>3631</v>
      </c>
    </row>
    <row r="271" spans="1:11" x14ac:dyDescent="0.25">
      <c r="A271" s="2" t="s">
        <v>2822</v>
      </c>
      <c r="B271" s="2" t="str">
        <f>"V2812434219001"</f>
        <v>V2812434219001</v>
      </c>
      <c r="C271" s="2" t="s">
        <v>3632</v>
      </c>
      <c r="D271" s="2" t="s">
        <v>752</v>
      </c>
      <c r="E271" s="2" t="s">
        <v>3590</v>
      </c>
      <c r="F271" s="2" t="s">
        <v>13</v>
      </c>
      <c r="H271" s="2">
        <v>2013</v>
      </c>
      <c r="I271" s="2" t="s">
        <v>3633</v>
      </c>
      <c r="J271" s="2" t="s">
        <v>15</v>
      </c>
      <c r="K271" s="2" t="s">
        <v>3634</v>
      </c>
    </row>
    <row r="272" spans="1:11" x14ac:dyDescent="0.25">
      <c r="A272" s="2" t="s">
        <v>2822</v>
      </c>
      <c r="B272" s="2" t="str">
        <f>"V1873313002001"</f>
        <v>V1873313002001</v>
      </c>
      <c r="C272" s="2" t="s">
        <v>3635</v>
      </c>
      <c r="D272" s="2" t="s">
        <v>475</v>
      </c>
      <c r="E272" s="2" t="s">
        <v>2903</v>
      </c>
      <c r="F272" s="2" t="s">
        <v>13</v>
      </c>
      <c r="H272" s="2">
        <v>2012</v>
      </c>
      <c r="I272" s="2" t="s">
        <v>3636</v>
      </c>
      <c r="J272" s="2" t="s">
        <v>15</v>
      </c>
      <c r="K272" s="2" t="s">
        <v>3637</v>
      </c>
    </row>
    <row r="273" spans="1:11" x14ac:dyDescent="0.25">
      <c r="A273" s="2" t="s">
        <v>2822</v>
      </c>
      <c r="B273" s="2" t="str">
        <f>"V1873313005001"</f>
        <v>V1873313005001</v>
      </c>
      <c r="C273" s="2" t="s">
        <v>3638</v>
      </c>
      <c r="D273" s="2" t="s">
        <v>475</v>
      </c>
      <c r="E273" s="2" t="s">
        <v>2903</v>
      </c>
      <c r="F273" s="2" t="s">
        <v>13</v>
      </c>
      <c r="H273" s="2">
        <v>2012</v>
      </c>
      <c r="I273" s="2" t="s">
        <v>3639</v>
      </c>
      <c r="J273" s="2" t="s">
        <v>15</v>
      </c>
      <c r="K273" s="2" t="s">
        <v>3640</v>
      </c>
    </row>
    <row r="274" spans="1:11" x14ac:dyDescent="0.25">
      <c r="A274" s="2" t="s">
        <v>2822</v>
      </c>
      <c r="B274" s="2" t="str">
        <f>"V1402349030001"</f>
        <v>V1402349030001</v>
      </c>
      <c r="C274" s="2" t="s">
        <v>3641</v>
      </c>
      <c r="D274" s="2" t="s">
        <v>2358</v>
      </c>
      <c r="E274" s="2" t="s">
        <v>3087</v>
      </c>
      <c r="F274" s="2" t="s">
        <v>13</v>
      </c>
      <c r="H274" s="2">
        <v>2011</v>
      </c>
      <c r="I274" s="2" t="s">
        <v>3642</v>
      </c>
      <c r="J274" s="2" t="s">
        <v>15</v>
      </c>
      <c r="K274" s="2" t="s">
        <v>3643</v>
      </c>
    </row>
    <row r="275" spans="1:11" x14ac:dyDescent="0.25">
      <c r="A275" s="2" t="s">
        <v>2822</v>
      </c>
      <c r="B275" s="2" t="str">
        <f>"V1402345902001"</f>
        <v>V1402345902001</v>
      </c>
      <c r="C275" s="2" t="s">
        <v>3644</v>
      </c>
      <c r="D275" s="2" t="s">
        <v>550</v>
      </c>
      <c r="E275" s="2" t="s">
        <v>3269</v>
      </c>
      <c r="F275" s="2" t="s">
        <v>13</v>
      </c>
      <c r="H275" s="2">
        <v>2011</v>
      </c>
      <c r="I275" s="2" t="s">
        <v>3645</v>
      </c>
      <c r="J275" s="2" t="s">
        <v>15</v>
      </c>
      <c r="K275" s="2" t="s">
        <v>3646</v>
      </c>
    </row>
    <row r="276" spans="1:11" x14ac:dyDescent="0.25">
      <c r="A276" s="2" t="s">
        <v>2822</v>
      </c>
      <c r="B276" s="2" t="str">
        <f>"V1402374716001"</f>
        <v>V1402374716001</v>
      </c>
      <c r="C276" s="2" t="s">
        <v>3647</v>
      </c>
      <c r="D276" s="2" t="s">
        <v>550</v>
      </c>
      <c r="E276" s="2" t="s">
        <v>3269</v>
      </c>
      <c r="F276" s="2" t="s">
        <v>13</v>
      </c>
      <c r="H276" s="2">
        <v>2011</v>
      </c>
      <c r="I276" s="2" t="s">
        <v>3648</v>
      </c>
      <c r="J276" s="2" t="s">
        <v>15</v>
      </c>
      <c r="K276" s="2" t="s">
        <v>3649</v>
      </c>
    </row>
    <row r="277" spans="1:11" x14ac:dyDescent="0.25">
      <c r="A277" s="2" t="s">
        <v>2822</v>
      </c>
      <c r="B277" s="2" t="str">
        <f>"V1402349025001"</f>
        <v>V1402349025001</v>
      </c>
      <c r="C277" s="2" t="s">
        <v>3650</v>
      </c>
      <c r="D277" s="2" t="s">
        <v>550</v>
      </c>
      <c r="E277" s="2" t="s">
        <v>3269</v>
      </c>
      <c r="F277" s="2" t="s">
        <v>13</v>
      </c>
      <c r="H277" s="2">
        <v>2011</v>
      </c>
      <c r="I277" s="2" t="s">
        <v>3651</v>
      </c>
      <c r="J277" s="2" t="s">
        <v>15</v>
      </c>
      <c r="K277" s="2" t="s">
        <v>3652</v>
      </c>
    </row>
    <row r="278" spans="1:11" x14ac:dyDescent="0.25">
      <c r="A278" s="2" t="s">
        <v>2822</v>
      </c>
      <c r="B278" s="2" t="str">
        <f>"V1402374715001"</f>
        <v>V1402374715001</v>
      </c>
      <c r="C278" s="2" t="s">
        <v>3653</v>
      </c>
      <c r="D278" s="2" t="s">
        <v>550</v>
      </c>
      <c r="E278" s="2" t="s">
        <v>3269</v>
      </c>
      <c r="F278" s="2" t="s">
        <v>13</v>
      </c>
      <c r="H278" s="2">
        <v>2011</v>
      </c>
      <c r="I278" s="2" t="s">
        <v>3654</v>
      </c>
      <c r="J278" s="2" t="s">
        <v>15</v>
      </c>
      <c r="K278" s="2" t="s">
        <v>3655</v>
      </c>
    </row>
    <row r="279" spans="1:11" x14ac:dyDescent="0.25">
      <c r="A279" s="2" t="s">
        <v>2822</v>
      </c>
      <c r="B279" s="2" t="str">
        <f>"V1931831111001"</f>
        <v>V1931831111001</v>
      </c>
      <c r="C279" s="2" t="s">
        <v>3656</v>
      </c>
      <c r="D279" s="2" t="s">
        <v>3208</v>
      </c>
      <c r="E279" s="2" t="s">
        <v>2903</v>
      </c>
      <c r="F279" s="2" t="s">
        <v>13</v>
      </c>
      <c r="H279" s="2">
        <v>2012</v>
      </c>
      <c r="I279" s="2" t="s">
        <v>3657</v>
      </c>
      <c r="J279" s="2" t="s">
        <v>15</v>
      </c>
      <c r="K279" s="2" t="s">
        <v>3658</v>
      </c>
    </row>
    <row r="280" spans="1:11" x14ac:dyDescent="0.25">
      <c r="A280" s="2" t="s">
        <v>2822</v>
      </c>
      <c r="B280" s="2" t="str">
        <f>"V1931838143001"</f>
        <v>V1931838143001</v>
      </c>
      <c r="C280" s="2" t="s">
        <v>3659</v>
      </c>
      <c r="D280" s="2" t="s">
        <v>3208</v>
      </c>
      <c r="E280" s="2" t="s">
        <v>2903</v>
      </c>
      <c r="F280" s="2" t="s">
        <v>13</v>
      </c>
      <c r="H280" s="2">
        <v>2012</v>
      </c>
      <c r="I280" s="2" t="s">
        <v>3660</v>
      </c>
      <c r="J280" s="2" t="s">
        <v>15</v>
      </c>
      <c r="K280" s="2" t="s">
        <v>3661</v>
      </c>
    </row>
    <row r="281" spans="1:11" x14ac:dyDescent="0.25">
      <c r="A281" s="2" t="s">
        <v>2822</v>
      </c>
      <c r="B281" s="2" t="str">
        <f>"V4768134738001"</f>
        <v>V4768134738001</v>
      </c>
      <c r="C281" s="2" t="s">
        <v>3662</v>
      </c>
      <c r="D281" s="2" t="s">
        <v>2172</v>
      </c>
      <c r="E281" s="2" t="s">
        <v>2824</v>
      </c>
      <c r="F281" s="2" t="s">
        <v>13</v>
      </c>
      <c r="H281" s="2">
        <v>2016</v>
      </c>
      <c r="I281" s="2" t="s">
        <v>2825</v>
      </c>
      <c r="J281" s="2" t="s">
        <v>15</v>
      </c>
      <c r="K281" s="2" t="s">
        <v>3663</v>
      </c>
    </row>
    <row r="282" spans="1:11" x14ac:dyDescent="0.25">
      <c r="A282" s="2" t="s">
        <v>2822</v>
      </c>
      <c r="B282" s="2" t="str">
        <f>"V4768153298001"</f>
        <v>V4768153298001</v>
      </c>
      <c r="C282" s="2" t="s">
        <v>3664</v>
      </c>
      <c r="D282" s="2" t="s">
        <v>2172</v>
      </c>
      <c r="E282" s="2" t="s">
        <v>2824</v>
      </c>
      <c r="F282" s="2" t="s">
        <v>13</v>
      </c>
      <c r="H282" s="2">
        <v>2016</v>
      </c>
      <c r="I282" s="2" t="s">
        <v>2825</v>
      </c>
      <c r="J282" s="2" t="s">
        <v>15</v>
      </c>
      <c r="K282" s="2" t="s">
        <v>3665</v>
      </c>
    </row>
    <row r="283" spans="1:11" x14ac:dyDescent="0.25">
      <c r="A283" s="2" t="s">
        <v>2822</v>
      </c>
      <c r="B283" s="2" t="str">
        <f>"V3187552890001"</f>
        <v>V3187552890001</v>
      </c>
      <c r="C283" s="2" t="s">
        <v>3666</v>
      </c>
      <c r="D283" s="2" t="s">
        <v>1461</v>
      </c>
      <c r="E283" s="2" t="s">
        <v>3667</v>
      </c>
      <c r="F283" s="2" t="s">
        <v>13</v>
      </c>
      <c r="H283" s="2">
        <v>2011</v>
      </c>
      <c r="I283" s="2" t="s">
        <v>2699</v>
      </c>
      <c r="J283" s="2" t="s">
        <v>15</v>
      </c>
      <c r="K283" s="2" t="s">
        <v>3668</v>
      </c>
    </row>
    <row r="284" spans="1:11" x14ac:dyDescent="0.25">
      <c r="A284" s="2" t="s">
        <v>2822</v>
      </c>
      <c r="B284" s="2" t="str">
        <f>"V3187552898001"</f>
        <v>V3187552898001</v>
      </c>
      <c r="C284" s="2" t="s">
        <v>3669</v>
      </c>
      <c r="D284" s="2" t="s">
        <v>1461</v>
      </c>
      <c r="E284" s="2" t="s">
        <v>3667</v>
      </c>
      <c r="F284" s="2" t="s">
        <v>13</v>
      </c>
      <c r="H284" s="2">
        <v>2011</v>
      </c>
      <c r="I284" s="2" t="s">
        <v>2699</v>
      </c>
      <c r="J284" s="2" t="s">
        <v>15</v>
      </c>
      <c r="K284" s="2" t="s">
        <v>3670</v>
      </c>
    </row>
    <row r="285" spans="1:11" x14ac:dyDescent="0.25">
      <c r="A285" s="2" t="s">
        <v>2822</v>
      </c>
      <c r="B285" s="2" t="str">
        <f>"V3187552889001"</f>
        <v>V3187552889001</v>
      </c>
      <c r="C285" s="2" t="s">
        <v>3671</v>
      </c>
      <c r="D285" s="2" t="s">
        <v>1461</v>
      </c>
      <c r="E285" s="2" t="s">
        <v>3667</v>
      </c>
      <c r="F285" s="2" t="s">
        <v>13</v>
      </c>
      <c r="H285" s="2">
        <v>2011</v>
      </c>
      <c r="I285" s="2" t="s">
        <v>2699</v>
      </c>
      <c r="J285" s="2" t="s">
        <v>15</v>
      </c>
      <c r="K285" s="2" t="s">
        <v>3672</v>
      </c>
    </row>
    <row r="286" spans="1:11" x14ac:dyDescent="0.25">
      <c r="A286" s="2" t="s">
        <v>2822</v>
      </c>
      <c r="B286" s="2" t="str">
        <f>"V3187552897001"</f>
        <v>V3187552897001</v>
      </c>
      <c r="C286" s="2" t="s">
        <v>3673</v>
      </c>
      <c r="D286" s="2" t="s">
        <v>1461</v>
      </c>
      <c r="E286" s="2" t="s">
        <v>3667</v>
      </c>
      <c r="F286" s="2" t="s">
        <v>13</v>
      </c>
      <c r="H286" s="2">
        <v>2011</v>
      </c>
      <c r="I286" s="2" t="s">
        <v>2699</v>
      </c>
      <c r="J286" s="2" t="s">
        <v>15</v>
      </c>
      <c r="K286" s="2" t="s">
        <v>3674</v>
      </c>
    </row>
    <row r="287" spans="1:11" x14ac:dyDescent="0.25">
      <c r="A287" s="2" t="s">
        <v>2822</v>
      </c>
      <c r="B287" s="2" t="str">
        <f>"V3187552892001"</f>
        <v>V3187552892001</v>
      </c>
      <c r="C287" s="2" t="s">
        <v>3675</v>
      </c>
      <c r="D287" s="2" t="s">
        <v>1461</v>
      </c>
      <c r="E287" s="2" t="s">
        <v>3667</v>
      </c>
      <c r="F287" s="2" t="s">
        <v>13</v>
      </c>
      <c r="H287" s="2">
        <v>2011</v>
      </c>
      <c r="I287" s="2" t="s">
        <v>2699</v>
      </c>
      <c r="J287" s="2" t="s">
        <v>15</v>
      </c>
      <c r="K287" s="2" t="s">
        <v>3676</v>
      </c>
    </row>
    <row r="288" spans="1:11" x14ac:dyDescent="0.25">
      <c r="A288" s="2" t="s">
        <v>2822</v>
      </c>
      <c r="B288" s="2" t="str">
        <f>"V3187552894001"</f>
        <v>V3187552894001</v>
      </c>
      <c r="C288" s="2" t="s">
        <v>3677</v>
      </c>
      <c r="D288" s="2" t="s">
        <v>1461</v>
      </c>
      <c r="E288" s="2" t="s">
        <v>3667</v>
      </c>
      <c r="F288" s="2" t="s">
        <v>13</v>
      </c>
      <c r="H288" s="2">
        <v>2011</v>
      </c>
      <c r="I288" s="2" t="s">
        <v>2699</v>
      </c>
      <c r="J288" s="2" t="s">
        <v>15</v>
      </c>
      <c r="K288" s="2" t="s">
        <v>3678</v>
      </c>
    </row>
    <row r="289" spans="1:11" x14ac:dyDescent="0.25">
      <c r="A289" s="2" t="s">
        <v>2822</v>
      </c>
      <c r="B289" s="2" t="str">
        <f>"V3187552893001"</f>
        <v>V3187552893001</v>
      </c>
      <c r="C289" s="2" t="s">
        <v>3679</v>
      </c>
      <c r="D289" s="2" t="s">
        <v>1461</v>
      </c>
      <c r="E289" s="2" t="s">
        <v>3667</v>
      </c>
      <c r="F289" s="2" t="s">
        <v>13</v>
      </c>
      <c r="H289" s="2">
        <v>2011</v>
      </c>
      <c r="I289" s="2" t="s">
        <v>2699</v>
      </c>
      <c r="J289" s="2" t="s">
        <v>15</v>
      </c>
      <c r="K289" s="2" t="s">
        <v>3680</v>
      </c>
    </row>
    <row r="290" spans="1:11" x14ac:dyDescent="0.25">
      <c r="A290" s="2" t="s">
        <v>2822</v>
      </c>
      <c r="B290" s="2" t="str">
        <f>"V3187552895001"</f>
        <v>V3187552895001</v>
      </c>
      <c r="C290" s="2" t="s">
        <v>3681</v>
      </c>
      <c r="D290" s="2" t="s">
        <v>1461</v>
      </c>
      <c r="E290" s="2" t="s">
        <v>3667</v>
      </c>
      <c r="F290" s="2" t="s">
        <v>13</v>
      </c>
      <c r="H290" s="2">
        <v>2011</v>
      </c>
      <c r="I290" s="2" t="s">
        <v>2699</v>
      </c>
      <c r="J290" s="2" t="s">
        <v>15</v>
      </c>
      <c r="K290" s="2" t="s">
        <v>3682</v>
      </c>
    </row>
    <row r="291" spans="1:11" x14ac:dyDescent="0.25">
      <c r="A291" s="2" t="s">
        <v>2822</v>
      </c>
      <c r="B291" s="2" t="str">
        <f>"V3187552891001"</f>
        <v>V3187552891001</v>
      </c>
      <c r="C291" s="2" t="s">
        <v>3683</v>
      </c>
      <c r="D291" s="2" t="s">
        <v>1461</v>
      </c>
      <c r="E291" s="2" t="s">
        <v>3667</v>
      </c>
      <c r="F291" s="2" t="s">
        <v>13</v>
      </c>
      <c r="H291" s="2">
        <v>2011</v>
      </c>
      <c r="I291" s="2" t="s">
        <v>2699</v>
      </c>
      <c r="J291" s="2" t="s">
        <v>15</v>
      </c>
      <c r="K291" s="2" t="s">
        <v>3684</v>
      </c>
    </row>
    <row r="292" spans="1:11" x14ac:dyDescent="0.25">
      <c r="A292" s="2" t="s">
        <v>2822</v>
      </c>
      <c r="B292" s="2" t="str">
        <f>"V3187552896001"</f>
        <v>V3187552896001</v>
      </c>
      <c r="C292" s="2" t="s">
        <v>3685</v>
      </c>
      <c r="D292" s="2" t="s">
        <v>1461</v>
      </c>
      <c r="E292" s="2" t="s">
        <v>3667</v>
      </c>
      <c r="F292" s="2" t="s">
        <v>13</v>
      </c>
      <c r="H292" s="2">
        <v>2011</v>
      </c>
      <c r="I292" s="2" t="s">
        <v>2699</v>
      </c>
      <c r="J292" s="2" t="s">
        <v>15</v>
      </c>
      <c r="K292" s="2" t="s">
        <v>3686</v>
      </c>
    </row>
    <row r="293" spans="1:11" x14ac:dyDescent="0.25">
      <c r="A293" s="2" t="s">
        <v>2822</v>
      </c>
      <c r="B293" s="2" t="str">
        <f>"V1931838140001"</f>
        <v>V1931838140001</v>
      </c>
      <c r="C293" s="2" t="s">
        <v>3687</v>
      </c>
      <c r="D293" s="2" t="s">
        <v>1592</v>
      </c>
      <c r="E293" s="2" t="s">
        <v>2903</v>
      </c>
      <c r="F293" s="2" t="s">
        <v>13</v>
      </c>
      <c r="H293" s="2">
        <v>2012</v>
      </c>
      <c r="I293" s="2" t="s">
        <v>3688</v>
      </c>
      <c r="J293" s="2" t="s">
        <v>15</v>
      </c>
      <c r="K293" s="2" t="s">
        <v>3689</v>
      </c>
    </row>
    <row r="294" spans="1:11" x14ac:dyDescent="0.25">
      <c r="A294" s="2" t="s">
        <v>2822</v>
      </c>
      <c r="B294" s="2" t="str">
        <f>"V1931803551001"</f>
        <v>V1931803551001</v>
      </c>
      <c r="C294" s="2" t="s">
        <v>3690</v>
      </c>
      <c r="D294" s="2" t="s">
        <v>1592</v>
      </c>
      <c r="E294" s="2" t="s">
        <v>2903</v>
      </c>
      <c r="F294" s="2" t="s">
        <v>13</v>
      </c>
      <c r="H294" s="2">
        <v>2012</v>
      </c>
      <c r="I294" s="2" t="s">
        <v>3691</v>
      </c>
      <c r="J294" s="2" t="s">
        <v>15</v>
      </c>
      <c r="K294" s="2" t="s">
        <v>3692</v>
      </c>
    </row>
    <row r="295" spans="1:11" x14ac:dyDescent="0.25">
      <c r="A295" s="2" t="s">
        <v>2822</v>
      </c>
      <c r="B295" s="2" t="str">
        <f>"V1402349023001"</f>
        <v>V1402349023001</v>
      </c>
      <c r="C295" s="2" t="s">
        <v>3693</v>
      </c>
      <c r="D295" s="2" t="s">
        <v>550</v>
      </c>
      <c r="E295" s="2" t="s">
        <v>3204</v>
      </c>
      <c r="F295" s="2" t="s">
        <v>13</v>
      </c>
      <c r="H295" s="2">
        <v>2011</v>
      </c>
      <c r="I295" s="2" t="s">
        <v>3694</v>
      </c>
      <c r="J295" s="2" t="s">
        <v>15</v>
      </c>
      <c r="K295" s="2" t="s">
        <v>3695</v>
      </c>
    </row>
    <row r="296" spans="1:11" x14ac:dyDescent="0.25">
      <c r="A296" s="2" t="s">
        <v>2822</v>
      </c>
      <c r="B296" s="2" t="str">
        <f>"V4768289493001"</f>
        <v>V4768289493001</v>
      </c>
      <c r="C296" s="2" t="s">
        <v>3696</v>
      </c>
      <c r="D296" s="2" t="s">
        <v>2172</v>
      </c>
      <c r="E296" s="2" t="s">
        <v>2824</v>
      </c>
      <c r="F296" s="2" t="s">
        <v>13</v>
      </c>
      <c r="H296" s="2">
        <v>2016</v>
      </c>
      <c r="I296" s="2" t="s">
        <v>2825</v>
      </c>
      <c r="J296" s="2" t="s">
        <v>15</v>
      </c>
      <c r="K296" s="2" t="s">
        <v>3697</v>
      </c>
    </row>
    <row r="297" spans="1:11" x14ac:dyDescent="0.25">
      <c r="A297" s="2" t="s">
        <v>2822</v>
      </c>
      <c r="B297" s="2" t="str">
        <f>"V1931854273001"</f>
        <v>V1931854273001</v>
      </c>
      <c r="C297" s="2" t="s">
        <v>3698</v>
      </c>
      <c r="D297" s="2" t="s">
        <v>3208</v>
      </c>
      <c r="E297" s="2" t="s">
        <v>2903</v>
      </c>
      <c r="F297" s="2" t="s">
        <v>13</v>
      </c>
      <c r="H297" s="2">
        <v>2012</v>
      </c>
      <c r="I297" s="2" t="s">
        <v>3699</v>
      </c>
      <c r="J297" s="2" t="s">
        <v>15</v>
      </c>
      <c r="K297" s="2" t="s">
        <v>3700</v>
      </c>
    </row>
    <row r="298" spans="1:11" x14ac:dyDescent="0.25">
      <c r="A298" s="2" t="s">
        <v>2822</v>
      </c>
      <c r="B298" s="2" t="str">
        <f>"V1931838150001"</f>
        <v>V1931838150001</v>
      </c>
      <c r="C298" s="2" t="s">
        <v>3701</v>
      </c>
      <c r="D298" s="2" t="s">
        <v>3208</v>
      </c>
      <c r="E298" s="2" t="s">
        <v>2903</v>
      </c>
      <c r="F298" s="2" t="s">
        <v>13</v>
      </c>
      <c r="H298" s="2">
        <v>2012</v>
      </c>
      <c r="I298" s="2" t="s">
        <v>3699</v>
      </c>
      <c r="J298" s="2" t="s">
        <v>15</v>
      </c>
      <c r="K298" s="2" t="s">
        <v>3702</v>
      </c>
    </row>
    <row r="299" spans="1:11" x14ac:dyDescent="0.25">
      <c r="A299" s="2" t="s">
        <v>2822</v>
      </c>
      <c r="B299" s="2" t="str">
        <f>"V4199201572001"</f>
        <v>V4199201572001</v>
      </c>
      <c r="C299" s="2" t="s">
        <v>3703</v>
      </c>
      <c r="D299" s="2" t="s">
        <v>1263</v>
      </c>
      <c r="E299" s="2" t="s">
        <v>2915</v>
      </c>
      <c r="F299" s="2" t="s">
        <v>13</v>
      </c>
      <c r="H299" s="2">
        <v>2015</v>
      </c>
      <c r="I299" s="2" t="s">
        <v>3704</v>
      </c>
      <c r="J299" s="2" t="s">
        <v>15</v>
      </c>
      <c r="K299" s="2" t="s">
        <v>3705</v>
      </c>
    </row>
    <row r="300" spans="1:11" x14ac:dyDescent="0.25">
      <c r="A300" s="2" t="s">
        <v>2822</v>
      </c>
      <c r="B300" s="2" t="str">
        <f>"V4199138215001"</f>
        <v>V4199138215001</v>
      </c>
      <c r="C300" s="2" t="s">
        <v>3706</v>
      </c>
      <c r="D300" s="2" t="s">
        <v>3517</v>
      </c>
      <c r="E300" s="2" t="s">
        <v>2915</v>
      </c>
      <c r="F300" s="2" t="s">
        <v>13</v>
      </c>
      <c r="H300" s="2">
        <v>2015</v>
      </c>
      <c r="I300" s="2" t="s">
        <v>3707</v>
      </c>
      <c r="J300" s="2" t="s">
        <v>15</v>
      </c>
      <c r="K300" s="2" t="s">
        <v>3708</v>
      </c>
    </row>
    <row r="301" spans="1:11" x14ac:dyDescent="0.25">
      <c r="A301" s="2" t="s">
        <v>2822</v>
      </c>
      <c r="B301" s="2" t="str">
        <f>"V4199138214001"</f>
        <v>V4199138214001</v>
      </c>
      <c r="C301" s="2" t="s">
        <v>3709</v>
      </c>
      <c r="D301" s="2" t="s">
        <v>3517</v>
      </c>
      <c r="E301" s="2" t="s">
        <v>2915</v>
      </c>
      <c r="F301" s="2" t="s">
        <v>13</v>
      </c>
      <c r="H301" s="2">
        <v>2015</v>
      </c>
      <c r="I301" s="2" t="s">
        <v>3710</v>
      </c>
      <c r="J301" s="2" t="s">
        <v>15</v>
      </c>
      <c r="K301" s="2" t="s">
        <v>3711</v>
      </c>
    </row>
    <row r="302" spans="1:11" x14ac:dyDescent="0.25">
      <c r="A302" s="2" t="s">
        <v>2822</v>
      </c>
      <c r="B302" s="2" t="str">
        <f>"V4199176154001"</f>
        <v>V4199176154001</v>
      </c>
      <c r="C302" s="2" t="s">
        <v>3712</v>
      </c>
      <c r="D302" s="2" t="s">
        <v>3517</v>
      </c>
      <c r="E302" s="2" t="s">
        <v>2915</v>
      </c>
      <c r="F302" s="2" t="s">
        <v>13</v>
      </c>
      <c r="H302" s="2">
        <v>2015</v>
      </c>
      <c r="I302" s="2" t="s">
        <v>3713</v>
      </c>
      <c r="J302" s="2" t="s">
        <v>15</v>
      </c>
      <c r="K302" s="2" t="s">
        <v>3714</v>
      </c>
    </row>
    <row r="303" spans="1:11" x14ac:dyDescent="0.25">
      <c r="A303" s="2" t="s">
        <v>2822</v>
      </c>
      <c r="B303" s="2" t="str">
        <f>"V3422515620001"</f>
        <v>V3422515620001</v>
      </c>
      <c r="C303" s="2" t="s">
        <v>3715</v>
      </c>
      <c r="D303" s="2" t="s">
        <v>1727</v>
      </c>
      <c r="E303" s="2" t="s">
        <v>2903</v>
      </c>
      <c r="F303" s="2" t="s">
        <v>13</v>
      </c>
      <c r="H303" s="2">
        <v>2014</v>
      </c>
      <c r="I303" s="2" t="s">
        <v>3716</v>
      </c>
      <c r="J303" s="2" t="s">
        <v>15</v>
      </c>
      <c r="K303" s="2" t="s">
        <v>3717</v>
      </c>
    </row>
    <row r="304" spans="1:11" x14ac:dyDescent="0.25">
      <c r="A304" s="2" t="s">
        <v>2822</v>
      </c>
      <c r="B304" s="2" t="str">
        <f>"V5762522090001"</f>
        <v>V5762522090001</v>
      </c>
      <c r="C304" s="2" t="s">
        <v>3718</v>
      </c>
      <c r="D304" s="2" t="s">
        <v>2511</v>
      </c>
      <c r="E304" s="2" t="s">
        <v>3124</v>
      </c>
      <c r="F304" s="2" t="s">
        <v>13</v>
      </c>
      <c r="H304" s="2">
        <v>2018</v>
      </c>
      <c r="I304" s="2" t="s">
        <v>3719</v>
      </c>
      <c r="J304" s="2" t="s">
        <v>15</v>
      </c>
      <c r="K304" s="2" t="s">
        <v>3720</v>
      </c>
    </row>
    <row r="305" spans="1:11" x14ac:dyDescent="0.25">
      <c r="A305" s="2" t="s">
        <v>2822</v>
      </c>
      <c r="B305" s="2" t="str">
        <f>"V3705146112001"</f>
        <v>V3705146112001</v>
      </c>
      <c r="C305" s="2" t="s">
        <v>3721</v>
      </c>
      <c r="D305" s="2" t="s">
        <v>1919</v>
      </c>
      <c r="E305" s="2" t="s">
        <v>2903</v>
      </c>
      <c r="F305" s="2" t="s">
        <v>13</v>
      </c>
      <c r="H305" s="2">
        <v>2014</v>
      </c>
      <c r="I305" s="2" t="s">
        <v>3722</v>
      </c>
      <c r="J305" s="2" t="s">
        <v>15</v>
      </c>
      <c r="K305" s="2" t="s">
        <v>3723</v>
      </c>
    </row>
    <row r="306" spans="1:11" x14ac:dyDescent="0.25">
      <c r="A306" s="2" t="s">
        <v>2822</v>
      </c>
      <c r="B306" s="2" t="str">
        <f>"V1873313000001"</f>
        <v>V1873313000001</v>
      </c>
      <c r="C306" s="2" t="s">
        <v>3724</v>
      </c>
      <c r="D306" s="2" t="s">
        <v>475</v>
      </c>
      <c r="E306" s="2" t="s">
        <v>2903</v>
      </c>
      <c r="F306" s="2" t="s">
        <v>13</v>
      </c>
      <c r="H306" s="2">
        <v>2012</v>
      </c>
      <c r="I306" s="2" t="s">
        <v>3725</v>
      </c>
      <c r="J306" s="2" t="s">
        <v>15</v>
      </c>
      <c r="K306" s="2" t="s">
        <v>3726</v>
      </c>
    </row>
    <row r="307" spans="1:11" x14ac:dyDescent="0.25">
      <c r="A307" s="2" t="s">
        <v>2822</v>
      </c>
      <c r="B307" s="2" t="str">
        <f>"V1873326704001"</f>
        <v>V1873326704001</v>
      </c>
      <c r="C307" s="2" t="s">
        <v>3727</v>
      </c>
      <c r="D307" s="2" t="s">
        <v>475</v>
      </c>
      <c r="E307" s="2" t="s">
        <v>2903</v>
      </c>
      <c r="F307" s="2" t="s">
        <v>13</v>
      </c>
      <c r="H307" s="2">
        <v>2012</v>
      </c>
      <c r="I307" s="2" t="s">
        <v>3728</v>
      </c>
      <c r="J307" s="2" t="s">
        <v>15</v>
      </c>
      <c r="K307" s="2" t="s">
        <v>3729</v>
      </c>
    </row>
    <row r="308" spans="1:11" x14ac:dyDescent="0.25">
      <c r="A308" s="2" t="s">
        <v>2822</v>
      </c>
      <c r="B308" s="2" t="str">
        <f>"V1873289102001"</f>
        <v>V1873289102001</v>
      </c>
      <c r="C308" s="2" t="s">
        <v>3730</v>
      </c>
      <c r="D308" s="2" t="s">
        <v>475</v>
      </c>
      <c r="E308" s="2" t="s">
        <v>2903</v>
      </c>
      <c r="F308" s="2" t="s">
        <v>13</v>
      </c>
      <c r="H308" s="2">
        <v>2012</v>
      </c>
      <c r="I308" s="2" t="s">
        <v>3731</v>
      </c>
      <c r="J308" s="2" t="s">
        <v>15</v>
      </c>
      <c r="K308" s="2" t="s">
        <v>3732</v>
      </c>
    </row>
    <row r="309" spans="1:11" x14ac:dyDescent="0.25">
      <c r="A309" s="2" t="s">
        <v>2822</v>
      </c>
      <c r="B309" s="2" t="str">
        <f>"V1873289103001"</f>
        <v>V1873289103001</v>
      </c>
      <c r="C309" s="2" t="s">
        <v>3733</v>
      </c>
      <c r="D309" s="2" t="s">
        <v>475</v>
      </c>
      <c r="E309" s="2" t="s">
        <v>2903</v>
      </c>
      <c r="F309" s="2" t="s">
        <v>13</v>
      </c>
      <c r="H309" s="2">
        <v>2012</v>
      </c>
      <c r="I309" s="2" t="s">
        <v>3734</v>
      </c>
      <c r="J309" s="2" t="s">
        <v>15</v>
      </c>
      <c r="K309" s="2" t="s">
        <v>3735</v>
      </c>
    </row>
    <row r="310" spans="1:11" x14ac:dyDescent="0.25">
      <c r="A310" s="2" t="s">
        <v>2822</v>
      </c>
      <c r="B310" s="2" t="str">
        <f>"V1873313016001"</f>
        <v>V1873313016001</v>
      </c>
      <c r="C310" s="2" t="s">
        <v>3736</v>
      </c>
      <c r="D310" s="2" t="s">
        <v>475</v>
      </c>
      <c r="E310" s="2" t="s">
        <v>2903</v>
      </c>
      <c r="F310" s="2" t="s">
        <v>13</v>
      </c>
      <c r="H310" s="2">
        <v>2012</v>
      </c>
      <c r="I310" s="2" t="s">
        <v>3737</v>
      </c>
      <c r="J310" s="2" t="s">
        <v>15</v>
      </c>
      <c r="K310" s="2" t="s">
        <v>3738</v>
      </c>
    </row>
    <row r="311" spans="1:11" x14ac:dyDescent="0.25">
      <c r="A311" s="2" t="s">
        <v>2822</v>
      </c>
      <c r="B311" s="2" t="str">
        <f>"V4768134739001"</f>
        <v>V4768134739001</v>
      </c>
      <c r="C311" s="2" t="s">
        <v>3739</v>
      </c>
      <c r="D311" s="2" t="s">
        <v>2172</v>
      </c>
      <c r="E311" s="2" t="s">
        <v>2824</v>
      </c>
      <c r="F311" s="2" t="s">
        <v>13</v>
      </c>
      <c r="H311" s="2">
        <v>2016</v>
      </c>
      <c r="I311" s="2" t="s">
        <v>2825</v>
      </c>
      <c r="J311" s="2" t="s">
        <v>15</v>
      </c>
      <c r="K311" s="2" t="s">
        <v>3740</v>
      </c>
    </row>
    <row r="312" spans="1:11" x14ac:dyDescent="0.25">
      <c r="A312" s="2" t="s">
        <v>2822</v>
      </c>
      <c r="B312" s="2" t="str">
        <f>"V4768289495001"</f>
        <v>V4768289495001</v>
      </c>
      <c r="C312" s="2" t="s">
        <v>3741</v>
      </c>
      <c r="D312" s="2" t="s">
        <v>2172</v>
      </c>
      <c r="E312" s="2" t="s">
        <v>2824</v>
      </c>
      <c r="F312" s="2" t="s">
        <v>13</v>
      </c>
      <c r="H312" s="2">
        <v>2016</v>
      </c>
      <c r="I312" s="2" t="s">
        <v>2825</v>
      </c>
      <c r="J312" s="2" t="s">
        <v>15</v>
      </c>
      <c r="K312" s="2" t="s">
        <v>3742</v>
      </c>
    </row>
    <row r="313" spans="1:11" x14ac:dyDescent="0.25">
      <c r="A313" s="2" t="s">
        <v>2822</v>
      </c>
      <c r="B313" s="2" t="str">
        <f>"V3422515621001"</f>
        <v>V3422515621001</v>
      </c>
      <c r="C313" s="2" t="s">
        <v>3743</v>
      </c>
      <c r="D313" s="2" t="s">
        <v>1727</v>
      </c>
      <c r="E313" s="2" t="s">
        <v>2903</v>
      </c>
      <c r="F313" s="2" t="s">
        <v>13</v>
      </c>
      <c r="H313" s="2">
        <v>2014</v>
      </c>
      <c r="I313" s="2" t="s">
        <v>3744</v>
      </c>
      <c r="J313" s="2" t="s">
        <v>15</v>
      </c>
      <c r="K313" s="2" t="s">
        <v>3745</v>
      </c>
    </row>
    <row r="314" spans="1:11" x14ac:dyDescent="0.25">
      <c r="A314" s="2" t="s">
        <v>2822</v>
      </c>
      <c r="B314" s="2" t="str">
        <f>"V1836229556001"</f>
        <v>V1836229556001</v>
      </c>
      <c r="C314" s="2" t="s">
        <v>3746</v>
      </c>
      <c r="D314" s="2" t="s">
        <v>3086</v>
      </c>
      <c r="E314" s="2" t="s">
        <v>3087</v>
      </c>
      <c r="F314" s="2" t="s">
        <v>13</v>
      </c>
      <c r="H314" s="2">
        <v>2012</v>
      </c>
      <c r="I314" s="2" t="s">
        <v>3747</v>
      </c>
      <c r="J314" s="2" t="s">
        <v>15</v>
      </c>
      <c r="K314" s="2" t="s">
        <v>3748</v>
      </c>
    </row>
    <row r="315" spans="1:11" x14ac:dyDescent="0.25">
      <c r="A315" s="2" t="s">
        <v>2822</v>
      </c>
      <c r="B315" s="2" t="str">
        <f>"V3615833504001"</f>
        <v>V3615833504001</v>
      </c>
      <c r="C315" s="2" t="s">
        <v>3749</v>
      </c>
      <c r="D315" s="2" t="s">
        <v>3111</v>
      </c>
      <c r="E315" s="2" t="s">
        <v>3112</v>
      </c>
      <c r="F315" s="2" t="s">
        <v>13</v>
      </c>
      <c r="H315" s="2">
        <v>2014</v>
      </c>
      <c r="I315" s="2" t="s">
        <v>3750</v>
      </c>
      <c r="J315" s="2" t="s">
        <v>15</v>
      </c>
      <c r="K315" s="2" t="s">
        <v>3751</v>
      </c>
    </row>
    <row r="316" spans="1:11" x14ac:dyDescent="0.25">
      <c r="A316" s="2" t="s">
        <v>2822</v>
      </c>
      <c r="B316" s="2" t="str">
        <f>"V3615833503001"</f>
        <v>V3615833503001</v>
      </c>
      <c r="C316" s="2" t="s">
        <v>3752</v>
      </c>
      <c r="D316" s="2" t="s">
        <v>3111</v>
      </c>
      <c r="E316" s="2" t="s">
        <v>3112</v>
      </c>
      <c r="F316" s="2" t="s">
        <v>13</v>
      </c>
      <c r="H316" s="2">
        <v>2014</v>
      </c>
      <c r="I316" s="2" t="s">
        <v>3753</v>
      </c>
      <c r="J316" s="2" t="s">
        <v>15</v>
      </c>
      <c r="K316" s="2" t="s">
        <v>3754</v>
      </c>
    </row>
    <row r="317" spans="1:11" x14ac:dyDescent="0.25">
      <c r="A317" s="2" t="s">
        <v>2822</v>
      </c>
      <c r="B317" s="2" t="str">
        <f>"V3422515622001"</f>
        <v>V3422515622001</v>
      </c>
      <c r="C317" s="2" t="s">
        <v>3755</v>
      </c>
      <c r="D317" s="2" t="s">
        <v>1727</v>
      </c>
      <c r="E317" s="2" t="s">
        <v>2903</v>
      </c>
      <c r="F317" s="2" t="s">
        <v>13</v>
      </c>
      <c r="H317" s="2">
        <v>2014</v>
      </c>
      <c r="I317" s="2" t="s">
        <v>3756</v>
      </c>
      <c r="J317" s="2" t="s">
        <v>15</v>
      </c>
      <c r="K317" s="2" t="s">
        <v>3757</v>
      </c>
    </row>
    <row r="318" spans="1:11" x14ac:dyDescent="0.25">
      <c r="A318" s="2" t="s">
        <v>2822</v>
      </c>
      <c r="B318" s="2" t="str">
        <f>"V2433975075001"</f>
        <v>V2433975075001</v>
      </c>
      <c r="C318" s="2" t="s">
        <v>3758</v>
      </c>
      <c r="D318" s="2" t="s">
        <v>2910</v>
      </c>
      <c r="E318" s="2" t="s">
        <v>2911</v>
      </c>
      <c r="F318" s="2" t="s">
        <v>13</v>
      </c>
      <c r="H318" s="2">
        <v>2013</v>
      </c>
      <c r="I318" s="2" t="s">
        <v>3759</v>
      </c>
      <c r="J318" s="2" t="s">
        <v>15</v>
      </c>
      <c r="K318" s="2" t="s">
        <v>3760</v>
      </c>
    </row>
    <row r="319" spans="1:11" x14ac:dyDescent="0.25">
      <c r="A319" s="2" t="s">
        <v>2822</v>
      </c>
      <c r="B319" s="2" t="str">
        <f>"V1402381085001"</f>
        <v>V1402381085001</v>
      </c>
      <c r="C319" s="2" t="s">
        <v>3761</v>
      </c>
      <c r="D319" s="2" t="s">
        <v>2358</v>
      </c>
      <c r="E319" s="2" t="s">
        <v>3087</v>
      </c>
      <c r="F319" s="2" t="s">
        <v>13</v>
      </c>
      <c r="H319" s="2">
        <v>2011</v>
      </c>
      <c r="I319" s="2" t="s">
        <v>3762</v>
      </c>
      <c r="J319" s="2" t="s">
        <v>15</v>
      </c>
      <c r="K319" s="2" t="s">
        <v>3763</v>
      </c>
    </row>
    <row r="320" spans="1:11" x14ac:dyDescent="0.25">
      <c r="A320" s="2" t="s">
        <v>2822</v>
      </c>
      <c r="B320" s="2" t="str">
        <f>"V1873340325001"</f>
        <v>V1873340325001</v>
      </c>
      <c r="C320" s="2" t="s">
        <v>3764</v>
      </c>
      <c r="D320" s="2" t="s">
        <v>475</v>
      </c>
      <c r="E320" s="2" t="s">
        <v>2903</v>
      </c>
      <c r="F320" s="2" t="s">
        <v>13</v>
      </c>
      <c r="H320" s="2">
        <v>2012</v>
      </c>
      <c r="I320" s="2" t="s">
        <v>3765</v>
      </c>
      <c r="J320" s="2" t="s">
        <v>15</v>
      </c>
      <c r="K320" s="2" t="s">
        <v>3766</v>
      </c>
    </row>
    <row r="321" spans="1:11" x14ac:dyDescent="0.25">
      <c r="A321" s="2" t="s">
        <v>2822</v>
      </c>
      <c r="B321" s="2" t="str">
        <f>"V1402381084001"</f>
        <v>V1402381084001</v>
      </c>
      <c r="C321" s="2" t="s">
        <v>3767</v>
      </c>
      <c r="D321" s="2" t="s">
        <v>550</v>
      </c>
      <c r="E321" s="2" t="s">
        <v>3269</v>
      </c>
      <c r="F321" s="2" t="s">
        <v>13</v>
      </c>
      <c r="H321" s="2">
        <v>2011</v>
      </c>
      <c r="I321" s="2" t="s">
        <v>3768</v>
      </c>
      <c r="J321" s="2" t="s">
        <v>15</v>
      </c>
      <c r="K321" s="2" t="s">
        <v>3769</v>
      </c>
    </row>
    <row r="322" spans="1:11" x14ac:dyDescent="0.25">
      <c r="A322" s="2" t="s">
        <v>2822</v>
      </c>
      <c r="B322" s="2" t="str">
        <f>"V4768180276001"</f>
        <v>V4768180276001</v>
      </c>
      <c r="C322" s="2" t="s">
        <v>3770</v>
      </c>
      <c r="D322" s="2" t="s">
        <v>2172</v>
      </c>
      <c r="E322" s="2" t="s">
        <v>2824</v>
      </c>
      <c r="F322" s="2" t="s">
        <v>13</v>
      </c>
      <c r="H322" s="2">
        <v>2016</v>
      </c>
      <c r="I322" s="2" t="s">
        <v>2825</v>
      </c>
      <c r="J322" s="2" t="s">
        <v>15</v>
      </c>
      <c r="K322" s="2" t="s">
        <v>3771</v>
      </c>
    </row>
    <row r="323" spans="1:11" x14ac:dyDescent="0.25">
      <c r="A323" s="2" t="s">
        <v>2822</v>
      </c>
      <c r="B323" s="2" t="str">
        <f>"V4768134740001"</f>
        <v>V4768134740001</v>
      </c>
      <c r="C323" s="2" t="s">
        <v>3772</v>
      </c>
      <c r="D323" s="2" t="s">
        <v>2172</v>
      </c>
      <c r="E323" s="2" t="s">
        <v>2824</v>
      </c>
      <c r="F323" s="2" t="s">
        <v>13</v>
      </c>
      <c r="H323" s="2">
        <v>2016</v>
      </c>
      <c r="I323" s="2" t="s">
        <v>3773</v>
      </c>
      <c r="J323" s="2" t="s">
        <v>15</v>
      </c>
      <c r="K323" s="2" t="s">
        <v>3774</v>
      </c>
    </row>
    <row r="324" spans="1:11" x14ac:dyDescent="0.25">
      <c r="A324" s="2" t="s">
        <v>2822</v>
      </c>
      <c r="B324" s="2" t="str">
        <f>"V3422515623001"</f>
        <v>V3422515623001</v>
      </c>
      <c r="C324" s="2" t="s">
        <v>3775</v>
      </c>
      <c r="D324" s="2" t="s">
        <v>1727</v>
      </c>
      <c r="E324" s="2" t="s">
        <v>2903</v>
      </c>
      <c r="F324" s="2" t="s">
        <v>13</v>
      </c>
      <c r="H324" s="2">
        <v>2014</v>
      </c>
      <c r="I324" s="2" t="s">
        <v>3776</v>
      </c>
      <c r="J324" s="2" t="s">
        <v>15</v>
      </c>
      <c r="K324" s="2" t="s">
        <v>3777</v>
      </c>
    </row>
    <row r="325" spans="1:11" x14ac:dyDescent="0.25">
      <c r="A325" s="2" t="s">
        <v>2822</v>
      </c>
      <c r="B325" s="2" t="str">
        <f>"V2433975067001"</f>
        <v>V2433975067001</v>
      </c>
      <c r="C325" s="2" t="s">
        <v>3778</v>
      </c>
      <c r="D325" s="2" t="s">
        <v>2910</v>
      </c>
      <c r="E325" s="2" t="s">
        <v>2911</v>
      </c>
      <c r="F325" s="2" t="s">
        <v>13</v>
      </c>
      <c r="H325" s="2">
        <v>2013</v>
      </c>
      <c r="I325" s="2" t="s">
        <v>3779</v>
      </c>
      <c r="J325" s="2" t="s">
        <v>15</v>
      </c>
      <c r="K325" s="2" t="s">
        <v>3780</v>
      </c>
    </row>
    <row r="326" spans="1:11" x14ac:dyDescent="0.25">
      <c r="A326" s="2" t="s">
        <v>2822</v>
      </c>
      <c r="B326" s="2" t="str">
        <f>"V1441287631001"</f>
        <v>V1441287631001</v>
      </c>
      <c r="C326" s="2" t="s">
        <v>3781</v>
      </c>
      <c r="D326" s="2" t="s">
        <v>2102</v>
      </c>
      <c r="E326" s="2" t="s">
        <v>3544</v>
      </c>
      <c r="F326" s="2" t="s">
        <v>13</v>
      </c>
      <c r="H326" s="2">
        <v>2011</v>
      </c>
      <c r="I326" s="2" t="s">
        <v>3782</v>
      </c>
      <c r="J326" s="2" t="s">
        <v>15</v>
      </c>
      <c r="K326" s="2" t="s">
        <v>3783</v>
      </c>
    </row>
    <row r="327" spans="1:11" x14ac:dyDescent="0.25">
      <c r="A327" s="2" t="s">
        <v>2822</v>
      </c>
      <c r="B327" s="2" t="str">
        <f>"V1441287628001"</f>
        <v>V1441287628001</v>
      </c>
      <c r="C327" s="2" t="s">
        <v>3781</v>
      </c>
      <c r="D327" s="2" t="s">
        <v>2102</v>
      </c>
      <c r="E327" s="2" t="s">
        <v>3544</v>
      </c>
      <c r="F327" s="2" t="s">
        <v>13</v>
      </c>
      <c r="H327" s="2">
        <v>2011</v>
      </c>
      <c r="I327" s="2" t="s">
        <v>3784</v>
      </c>
      <c r="J327" s="2" t="s">
        <v>15</v>
      </c>
      <c r="K327" s="2" t="s">
        <v>3785</v>
      </c>
    </row>
    <row r="328" spans="1:11" x14ac:dyDescent="0.25">
      <c r="A328" s="2" t="s">
        <v>2822</v>
      </c>
      <c r="B328" s="2" t="str">
        <f>"V1441275934001"</f>
        <v>V1441275934001</v>
      </c>
      <c r="C328" s="2" t="s">
        <v>3786</v>
      </c>
      <c r="D328" s="2" t="s">
        <v>2102</v>
      </c>
      <c r="E328" s="2" t="s">
        <v>3544</v>
      </c>
      <c r="F328" s="2" t="s">
        <v>13</v>
      </c>
      <c r="H328" s="2">
        <v>2011</v>
      </c>
      <c r="I328" s="2" t="s">
        <v>3787</v>
      </c>
      <c r="J328" s="2" t="s">
        <v>15</v>
      </c>
      <c r="K328" s="2" t="s">
        <v>3788</v>
      </c>
    </row>
    <row r="329" spans="1:11" x14ac:dyDescent="0.25">
      <c r="A329" s="2" t="s">
        <v>2822</v>
      </c>
      <c r="B329" s="2" t="str">
        <f>"V1441301820001"</f>
        <v>V1441301820001</v>
      </c>
      <c r="C329" s="2" t="s">
        <v>3789</v>
      </c>
      <c r="D329" s="2" t="s">
        <v>2102</v>
      </c>
      <c r="E329" s="2" t="s">
        <v>3544</v>
      </c>
      <c r="F329" s="2" t="s">
        <v>13</v>
      </c>
      <c r="H329" s="2">
        <v>2011</v>
      </c>
      <c r="I329" s="2" t="s">
        <v>3790</v>
      </c>
      <c r="J329" s="2" t="s">
        <v>15</v>
      </c>
      <c r="K329" s="2" t="s">
        <v>3791</v>
      </c>
    </row>
    <row r="330" spans="1:11" x14ac:dyDescent="0.25">
      <c r="A330" s="2" t="s">
        <v>2822</v>
      </c>
      <c r="B330" s="2" t="str">
        <f>"V1441301817001"</f>
        <v>V1441301817001</v>
      </c>
      <c r="C330" s="2" t="s">
        <v>3792</v>
      </c>
      <c r="D330" s="2" t="s">
        <v>2102</v>
      </c>
      <c r="E330" s="2" t="s">
        <v>3544</v>
      </c>
      <c r="F330" s="2" t="s">
        <v>13</v>
      </c>
      <c r="H330" s="2">
        <v>2011</v>
      </c>
      <c r="I330" s="2" t="s">
        <v>3793</v>
      </c>
      <c r="J330" s="2" t="s">
        <v>15</v>
      </c>
      <c r="K330" s="2" t="s">
        <v>3794</v>
      </c>
    </row>
    <row r="331" spans="1:11" x14ac:dyDescent="0.25">
      <c r="A331" s="2" t="s">
        <v>2822</v>
      </c>
      <c r="B331" s="2" t="str">
        <f>"V1441301815001"</f>
        <v>V1441301815001</v>
      </c>
      <c r="C331" s="2" t="s">
        <v>3795</v>
      </c>
      <c r="D331" s="2" t="s">
        <v>2102</v>
      </c>
      <c r="E331" s="2" t="s">
        <v>3544</v>
      </c>
      <c r="F331" s="2" t="s">
        <v>13</v>
      </c>
      <c r="H331" s="2">
        <v>2011</v>
      </c>
      <c r="I331" s="2" t="s">
        <v>3796</v>
      </c>
      <c r="J331" s="2" t="s">
        <v>15</v>
      </c>
      <c r="K331" s="2" t="s">
        <v>3797</v>
      </c>
    </row>
    <row r="332" spans="1:11" x14ac:dyDescent="0.25">
      <c r="A332" s="2" t="s">
        <v>2822</v>
      </c>
      <c r="B332" s="2" t="str">
        <f>"V1441275933001"</f>
        <v>V1441275933001</v>
      </c>
      <c r="C332" s="2" t="s">
        <v>3798</v>
      </c>
      <c r="D332" s="2" t="s">
        <v>2102</v>
      </c>
      <c r="E332" s="2" t="s">
        <v>3544</v>
      </c>
      <c r="F332" s="2" t="s">
        <v>13</v>
      </c>
      <c r="H332" s="2">
        <v>2011</v>
      </c>
      <c r="I332" s="2" t="s">
        <v>3799</v>
      </c>
      <c r="J332" s="2" t="s">
        <v>15</v>
      </c>
      <c r="K332" s="2" t="s">
        <v>3800</v>
      </c>
    </row>
    <row r="333" spans="1:11" x14ac:dyDescent="0.25">
      <c r="A333" s="2" t="s">
        <v>2822</v>
      </c>
      <c r="B333" s="2" t="str">
        <f>"V1441301819001"</f>
        <v>V1441301819001</v>
      </c>
      <c r="C333" s="2" t="s">
        <v>3801</v>
      </c>
      <c r="D333" s="2" t="s">
        <v>2102</v>
      </c>
      <c r="E333" s="2" t="s">
        <v>3544</v>
      </c>
      <c r="F333" s="2" t="s">
        <v>13</v>
      </c>
      <c r="H333" s="2">
        <v>2011</v>
      </c>
      <c r="I333" s="2" t="s">
        <v>3802</v>
      </c>
      <c r="J333" s="2" t="s">
        <v>15</v>
      </c>
      <c r="K333" s="2" t="s">
        <v>3803</v>
      </c>
    </row>
    <row r="334" spans="1:11" x14ac:dyDescent="0.25">
      <c r="A334" s="2" t="s">
        <v>2822</v>
      </c>
      <c r="B334" s="2" t="str">
        <f>"V1441287620001"</f>
        <v>V1441287620001</v>
      </c>
      <c r="C334" s="2" t="s">
        <v>3804</v>
      </c>
      <c r="D334" s="2" t="s">
        <v>2102</v>
      </c>
      <c r="E334" s="2" t="s">
        <v>3544</v>
      </c>
      <c r="F334" s="2" t="s">
        <v>13</v>
      </c>
      <c r="H334" s="2">
        <v>2011</v>
      </c>
      <c r="I334" s="2" t="s">
        <v>3805</v>
      </c>
      <c r="J334" s="2" t="s">
        <v>15</v>
      </c>
      <c r="K334" s="2" t="s">
        <v>3806</v>
      </c>
    </row>
    <row r="335" spans="1:11" x14ac:dyDescent="0.25">
      <c r="A335" s="2" t="s">
        <v>2822</v>
      </c>
      <c r="B335" s="2" t="str">
        <f>"V1441301822001"</f>
        <v>V1441301822001</v>
      </c>
      <c r="C335" s="2" t="s">
        <v>3807</v>
      </c>
      <c r="D335" s="2" t="s">
        <v>2102</v>
      </c>
      <c r="E335" s="2" t="s">
        <v>3544</v>
      </c>
      <c r="F335" s="2" t="s">
        <v>13</v>
      </c>
      <c r="H335" s="2">
        <v>2011</v>
      </c>
      <c r="I335" s="2" t="s">
        <v>3808</v>
      </c>
      <c r="J335" s="2" t="s">
        <v>15</v>
      </c>
      <c r="K335" s="2" t="s">
        <v>3809</v>
      </c>
    </row>
    <row r="336" spans="1:11" x14ac:dyDescent="0.25">
      <c r="A336" s="2" t="s">
        <v>2822</v>
      </c>
      <c r="B336" s="2" t="str">
        <f>"V1441275935001"</f>
        <v>V1441275935001</v>
      </c>
      <c r="C336" s="2" t="s">
        <v>3810</v>
      </c>
      <c r="D336" s="2" t="s">
        <v>2102</v>
      </c>
      <c r="E336" s="2" t="s">
        <v>3544</v>
      </c>
      <c r="F336" s="2" t="s">
        <v>13</v>
      </c>
      <c r="H336" s="2">
        <v>2011</v>
      </c>
      <c r="I336" s="2" t="s">
        <v>3811</v>
      </c>
      <c r="J336" s="2" t="s">
        <v>15</v>
      </c>
      <c r="K336" s="2" t="s">
        <v>3812</v>
      </c>
    </row>
    <row r="337" spans="1:11" x14ac:dyDescent="0.25">
      <c r="A337" s="2" t="s">
        <v>2822</v>
      </c>
      <c r="B337" s="2" t="str">
        <f>"V1441301821001"</f>
        <v>V1441301821001</v>
      </c>
      <c r="C337" s="2" t="s">
        <v>3813</v>
      </c>
      <c r="D337" s="2" t="s">
        <v>2102</v>
      </c>
      <c r="E337" s="2" t="s">
        <v>3544</v>
      </c>
      <c r="F337" s="2" t="s">
        <v>13</v>
      </c>
      <c r="H337" s="2">
        <v>2011</v>
      </c>
      <c r="I337" s="2" t="s">
        <v>3814</v>
      </c>
      <c r="J337" s="2" t="s">
        <v>15</v>
      </c>
      <c r="K337" s="2" t="s">
        <v>3815</v>
      </c>
    </row>
    <row r="338" spans="1:11" x14ac:dyDescent="0.25">
      <c r="A338" s="2" t="s">
        <v>2822</v>
      </c>
      <c r="B338" s="2" t="str">
        <f>"V1441287627001"</f>
        <v>V1441287627001</v>
      </c>
      <c r="C338" s="2" t="s">
        <v>3816</v>
      </c>
      <c r="D338" s="2" t="s">
        <v>2102</v>
      </c>
      <c r="E338" s="2" t="s">
        <v>3544</v>
      </c>
      <c r="F338" s="2" t="s">
        <v>13</v>
      </c>
      <c r="H338" s="2">
        <v>2011</v>
      </c>
      <c r="I338" s="2" t="s">
        <v>3817</v>
      </c>
      <c r="J338" s="2" t="s">
        <v>15</v>
      </c>
      <c r="K338" s="2" t="s">
        <v>3818</v>
      </c>
    </row>
    <row r="339" spans="1:11" x14ac:dyDescent="0.25">
      <c r="A339" s="2" t="s">
        <v>2822</v>
      </c>
      <c r="B339" s="2" t="str">
        <f>"V1441287622001"</f>
        <v>V1441287622001</v>
      </c>
      <c r="C339" s="2" t="s">
        <v>3819</v>
      </c>
      <c r="D339" s="2" t="s">
        <v>2102</v>
      </c>
      <c r="E339" s="2" t="s">
        <v>3544</v>
      </c>
      <c r="F339" s="2" t="s">
        <v>13</v>
      </c>
      <c r="H339" s="2">
        <v>2011</v>
      </c>
      <c r="I339" s="2" t="s">
        <v>3820</v>
      </c>
      <c r="J339" s="2" t="s">
        <v>15</v>
      </c>
      <c r="K339" s="2" t="s">
        <v>3821</v>
      </c>
    </row>
    <row r="340" spans="1:11" x14ac:dyDescent="0.25">
      <c r="A340" s="2" t="s">
        <v>2822</v>
      </c>
      <c r="B340" s="2" t="str">
        <f>"V1441287619001"</f>
        <v>V1441287619001</v>
      </c>
      <c r="C340" s="2" t="s">
        <v>3822</v>
      </c>
      <c r="D340" s="2" t="s">
        <v>2102</v>
      </c>
      <c r="E340" s="2" t="s">
        <v>3544</v>
      </c>
      <c r="F340" s="2" t="s">
        <v>13</v>
      </c>
      <c r="H340" s="2">
        <v>2011</v>
      </c>
      <c r="I340" s="2" t="s">
        <v>3823</v>
      </c>
      <c r="J340" s="2" t="s">
        <v>15</v>
      </c>
      <c r="K340" s="2" t="s">
        <v>3824</v>
      </c>
    </row>
    <row r="341" spans="1:11" x14ac:dyDescent="0.25">
      <c r="A341" s="2" t="s">
        <v>2822</v>
      </c>
      <c r="B341" s="2" t="str">
        <f>"V1441266362001"</f>
        <v>V1441266362001</v>
      </c>
      <c r="C341" s="2" t="s">
        <v>3825</v>
      </c>
      <c r="D341" s="2" t="s">
        <v>2102</v>
      </c>
      <c r="E341" s="2" t="s">
        <v>3544</v>
      </c>
      <c r="F341" s="2" t="s">
        <v>13</v>
      </c>
      <c r="H341" s="2">
        <v>2011</v>
      </c>
      <c r="I341" s="2" t="s">
        <v>3826</v>
      </c>
      <c r="J341" s="2" t="s">
        <v>15</v>
      </c>
      <c r="K341" s="2" t="s">
        <v>3827</v>
      </c>
    </row>
    <row r="342" spans="1:11" x14ac:dyDescent="0.25">
      <c r="A342" s="2" t="s">
        <v>2822</v>
      </c>
      <c r="B342" s="2" t="str">
        <f>"V1450345433001"</f>
        <v>V1450345433001</v>
      </c>
      <c r="C342" s="2" t="s">
        <v>3828</v>
      </c>
      <c r="D342" s="2" t="s">
        <v>2102</v>
      </c>
      <c r="E342" s="2" t="s">
        <v>3544</v>
      </c>
      <c r="F342" s="2" t="s">
        <v>13</v>
      </c>
      <c r="H342" s="2">
        <v>2011</v>
      </c>
      <c r="I342" s="2" t="s">
        <v>3829</v>
      </c>
      <c r="J342" s="2" t="s">
        <v>15</v>
      </c>
      <c r="K342" s="2" t="s">
        <v>3830</v>
      </c>
    </row>
    <row r="343" spans="1:11" x14ac:dyDescent="0.25">
      <c r="A343" s="2" t="s">
        <v>2822</v>
      </c>
      <c r="B343" s="2" t="str">
        <f>"V1441301826001"</f>
        <v>V1441301826001</v>
      </c>
      <c r="C343" s="2" t="s">
        <v>3831</v>
      </c>
      <c r="D343" s="2" t="s">
        <v>2102</v>
      </c>
      <c r="E343" s="2" t="s">
        <v>3544</v>
      </c>
      <c r="F343" s="2" t="s">
        <v>13</v>
      </c>
      <c r="H343" s="2">
        <v>2011</v>
      </c>
      <c r="I343" s="2" t="s">
        <v>3832</v>
      </c>
      <c r="J343" s="2" t="s">
        <v>15</v>
      </c>
      <c r="K343" s="2" t="s">
        <v>3833</v>
      </c>
    </row>
    <row r="344" spans="1:11" x14ac:dyDescent="0.25">
      <c r="A344" s="2" t="s">
        <v>2822</v>
      </c>
      <c r="B344" s="2" t="str">
        <f>"V1441301825001"</f>
        <v>V1441301825001</v>
      </c>
      <c r="C344" s="2" t="s">
        <v>3834</v>
      </c>
      <c r="D344" s="2" t="s">
        <v>2102</v>
      </c>
      <c r="E344" s="2" t="s">
        <v>3544</v>
      </c>
      <c r="F344" s="2" t="s">
        <v>13</v>
      </c>
      <c r="H344" s="2">
        <v>2011</v>
      </c>
      <c r="I344" s="2" t="s">
        <v>3835</v>
      </c>
      <c r="J344" s="2" t="s">
        <v>15</v>
      </c>
      <c r="K344" s="2" t="s">
        <v>3836</v>
      </c>
    </row>
    <row r="345" spans="1:11" x14ac:dyDescent="0.25">
      <c r="A345" s="2" t="s">
        <v>2822</v>
      </c>
      <c r="B345" s="2" t="str">
        <f>"V1441287629001"</f>
        <v>V1441287629001</v>
      </c>
      <c r="C345" s="2" t="s">
        <v>3837</v>
      </c>
      <c r="D345" s="2" t="s">
        <v>2102</v>
      </c>
      <c r="E345" s="2" t="s">
        <v>3544</v>
      </c>
      <c r="F345" s="2" t="s">
        <v>13</v>
      </c>
      <c r="H345" s="2">
        <v>2011</v>
      </c>
      <c r="I345" s="2" t="s">
        <v>3838</v>
      </c>
      <c r="J345" s="2" t="s">
        <v>15</v>
      </c>
      <c r="K345" s="2" t="s">
        <v>3839</v>
      </c>
    </row>
    <row r="346" spans="1:11" x14ac:dyDescent="0.25">
      <c r="A346" s="2" t="s">
        <v>2822</v>
      </c>
      <c r="B346" s="2" t="str">
        <f>"V1441327345001"</f>
        <v>V1441327345001</v>
      </c>
      <c r="C346" s="2" t="s">
        <v>3840</v>
      </c>
      <c r="D346" s="2" t="s">
        <v>2102</v>
      </c>
      <c r="E346" s="2" t="s">
        <v>3544</v>
      </c>
      <c r="F346" s="2" t="s">
        <v>13</v>
      </c>
      <c r="H346" s="2">
        <v>2011</v>
      </c>
      <c r="I346" s="2" t="s">
        <v>3841</v>
      </c>
      <c r="J346" s="2" t="s">
        <v>15</v>
      </c>
      <c r="K346" s="2" t="s">
        <v>3842</v>
      </c>
    </row>
    <row r="347" spans="1:11" x14ac:dyDescent="0.25">
      <c r="A347" s="2" t="s">
        <v>2822</v>
      </c>
      <c r="B347" s="2" t="str">
        <f>"V1441301823001"</f>
        <v>V1441301823001</v>
      </c>
      <c r="C347" s="2" t="s">
        <v>3843</v>
      </c>
      <c r="D347" s="2" t="s">
        <v>2102</v>
      </c>
      <c r="E347" s="2" t="s">
        <v>3544</v>
      </c>
      <c r="F347" s="2" t="s">
        <v>13</v>
      </c>
      <c r="H347" s="2">
        <v>2011</v>
      </c>
      <c r="I347" s="2" t="s">
        <v>3844</v>
      </c>
      <c r="J347" s="2" t="s">
        <v>15</v>
      </c>
      <c r="K347" s="2" t="s">
        <v>3845</v>
      </c>
    </row>
    <row r="348" spans="1:11" x14ac:dyDescent="0.25">
      <c r="A348" s="2" t="s">
        <v>2822</v>
      </c>
      <c r="B348" s="2" t="str">
        <f>"V1441275936001"</f>
        <v>V1441275936001</v>
      </c>
      <c r="C348" s="2" t="s">
        <v>3846</v>
      </c>
      <c r="D348" s="2" t="s">
        <v>2102</v>
      </c>
      <c r="E348" s="2" t="s">
        <v>3544</v>
      </c>
      <c r="F348" s="2" t="s">
        <v>13</v>
      </c>
      <c r="H348" s="2">
        <v>2011</v>
      </c>
      <c r="I348" s="2" t="s">
        <v>3847</v>
      </c>
      <c r="J348" s="2" t="s">
        <v>15</v>
      </c>
      <c r="K348" s="2" t="s">
        <v>3848</v>
      </c>
    </row>
    <row r="349" spans="1:11" x14ac:dyDescent="0.25">
      <c r="A349" s="2" t="s">
        <v>2822</v>
      </c>
      <c r="B349" s="2" t="str">
        <f>"V1441275937001"</f>
        <v>V1441275937001</v>
      </c>
      <c r="C349" s="2" t="s">
        <v>3849</v>
      </c>
      <c r="D349" s="2" t="s">
        <v>2102</v>
      </c>
      <c r="E349" s="2" t="s">
        <v>3544</v>
      </c>
      <c r="F349" s="2" t="s">
        <v>13</v>
      </c>
      <c r="H349" s="2">
        <v>2011</v>
      </c>
      <c r="I349" s="2" t="s">
        <v>3850</v>
      </c>
      <c r="J349" s="2" t="s">
        <v>15</v>
      </c>
      <c r="K349" s="2" t="s">
        <v>3851</v>
      </c>
    </row>
    <row r="350" spans="1:11" x14ac:dyDescent="0.25">
      <c r="A350" s="2" t="s">
        <v>2822</v>
      </c>
      <c r="B350" s="2" t="str">
        <f>"V1955115574001"</f>
        <v>V1955115574001</v>
      </c>
      <c r="C350" s="2" t="s">
        <v>3852</v>
      </c>
      <c r="D350" s="2" t="s">
        <v>2102</v>
      </c>
      <c r="E350" s="2" t="s">
        <v>3544</v>
      </c>
      <c r="F350" s="2" t="s">
        <v>13</v>
      </c>
      <c r="H350" s="2">
        <v>2012</v>
      </c>
      <c r="I350" s="2" t="s">
        <v>3853</v>
      </c>
      <c r="J350" s="2" t="s">
        <v>15</v>
      </c>
      <c r="K350" s="2" t="s">
        <v>3854</v>
      </c>
    </row>
    <row r="351" spans="1:11" x14ac:dyDescent="0.25">
      <c r="A351" s="2" t="s">
        <v>2822</v>
      </c>
      <c r="B351" s="2" t="str">
        <f>"V1955179002001"</f>
        <v>V1955179002001</v>
      </c>
      <c r="C351" s="2" t="s">
        <v>3855</v>
      </c>
      <c r="D351" s="2" t="s">
        <v>2102</v>
      </c>
      <c r="E351" s="2" t="s">
        <v>3544</v>
      </c>
      <c r="F351" s="2" t="s">
        <v>13</v>
      </c>
      <c r="H351" s="2">
        <v>2012</v>
      </c>
      <c r="I351" s="2" t="s">
        <v>3856</v>
      </c>
      <c r="J351" s="2" t="s">
        <v>15</v>
      </c>
      <c r="K351" s="2" t="s">
        <v>3857</v>
      </c>
    </row>
    <row r="352" spans="1:11" x14ac:dyDescent="0.25">
      <c r="A352" s="2" t="s">
        <v>2822</v>
      </c>
      <c r="B352" s="2" t="str">
        <f>"V1955115579001"</f>
        <v>V1955115579001</v>
      </c>
      <c r="C352" s="2" t="s">
        <v>3858</v>
      </c>
      <c r="D352" s="2" t="s">
        <v>2102</v>
      </c>
      <c r="E352" s="2" t="s">
        <v>3544</v>
      </c>
      <c r="F352" s="2" t="s">
        <v>13</v>
      </c>
      <c r="H352" s="2">
        <v>2012</v>
      </c>
      <c r="I352" s="2" t="s">
        <v>3859</v>
      </c>
      <c r="J352" s="2" t="s">
        <v>15</v>
      </c>
      <c r="K352" s="2" t="s">
        <v>3860</v>
      </c>
    </row>
    <row r="353" spans="1:11" x14ac:dyDescent="0.25">
      <c r="A353" s="2" t="s">
        <v>2822</v>
      </c>
      <c r="B353" s="2" t="str">
        <f>"V1955676332001"</f>
        <v>V1955676332001</v>
      </c>
      <c r="C353" s="2" t="s">
        <v>3861</v>
      </c>
      <c r="D353" s="2" t="s">
        <v>2102</v>
      </c>
      <c r="E353" s="2" t="s">
        <v>3544</v>
      </c>
      <c r="F353" s="2" t="s">
        <v>13</v>
      </c>
      <c r="H353" s="2">
        <v>2012</v>
      </c>
      <c r="I353" s="2" t="s">
        <v>3862</v>
      </c>
      <c r="J353" s="2" t="s">
        <v>15</v>
      </c>
      <c r="K353" s="2" t="s">
        <v>3863</v>
      </c>
    </row>
    <row r="354" spans="1:11" x14ac:dyDescent="0.25">
      <c r="A354" s="2" t="s">
        <v>2822</v>
      </c>
      <c r="B354" s="2" t="str">
        <f>"V1955202420001"</f>
        <v>V1955202420001</v>
      </c>
      <c r="C354" s="2" t="s">
        <v>3864</v>
      </c>
      <c r="D354" s="2" t="s">
        <v>2102</v>
      </c>
      <c r="E354" s="2" t="s">
        <v>3544</v>
      </c>
      <c r="F354" s="2" t="s">
        <v>13</v>
      </c>
      <c r="H354" s="2">
        <v>2012</v>
      </c>
      <c r="I354" s="2" t="s">
        <v>3865</v>
      </c>
      <c r="J354" s="2" t="s">
        <v>15</v>
      </c>
      <c r="K354" s="2" t="s">
        <v>3866</v>
      </c>
    </row>
    <row r="355" spans="1:11" x14ac:dyDescent="0.25">
      <c r="A355" s="2" t="s">
        <v>2822</v>
      </c>
      <c r="B355" s="2" t="str">
        <f>"V1955179005001"</f>
        <v>V1955179005001</v>
      </c>
      <c r="C355" s="2" t="s">
        <v>3867</v>
      </c>
      <c r="D355" s="2" t="s">
        <v>2102</v>
      </c>
      <c r="E355" s="2" t="s">
        <v>3544</v>
      </c>
      <c r="F355" s="2" t="s">
        <v>13</v>
      </c>
      <c r="H355" s="2">
        <v>2012</v>
      </c>
      <c r="I355" s="2" t="s">
        <v>3868</v>
      </c>
      <c r="J355" s="2" t="s">
        <v>15</v>
      </c>
      <c r="K355" s="2" t="s">
        <v>3869</v>
      </c>
    </row>
    <row r="356" spans="1:11" x14ac:dyDescent="0.25">
      <c r="A356" s="2" t="s">
        <v>2822</v>
      </c>
      <c r="B356" s="2" t="str">
        <f>"V1955115576001"</f>
        <v>V1955115576001</v>
      </c>
      <c r="C356" s="2" t="s">
        <v>3870</v>
      </c>
      <c r="D356" s="2" t="s">
        <v>2102</v>
      </c>
      <c r="E356" s="2" t="s">
        <v>3544</v>
      </c>
      <c r="F356" s="2" t="s">
        <v>13</v>
      </c>
      <c r="H356" s="2">
        <v>2012</v>
      </c>
      <c r="I356" s="2" t="s">
        <v>3871</v>
      </c>
      <c r="J356" s="2" t="s">
        <v>15</v>
      </c>
      <c r="K356" s="2" t="s">
        <v>3872</v>
      </c>
    </row>
    <row r="357" spans="1:11" x14ac:dyDescent="0.25">
      <c r="A357" s="2" t="s">
        <v>2822</v>
      </c>
      <c r="B357" s="2" t="str">
        <f>"V1955179003001"</f>
        <v>V1955179003001</v>
      </c>
      <c r="C357" s="2" t="s">
        <v>3873</v>
      </c>
      <c r="D357" s="2" t="s">
        <v>2102</v>
      </c>
      <c r="E357" s="2" t="s">
        <v>3544</v>
      </c>
      <c r="F357" s="2" t="s">
        <v>13</v>
      </c>
      <c r="H357" s="2">
        <v>2012</v>
      </c>
      <c r="I357" s="2" t="s">
        <v>3874</v>
      </c>
      <c r="J357" s="2" t="s">
        <v>15</v>
      </c>
      <c r="K357" s="2" t="s">
        <v>3875</v>
      </c>
    </row>
    <row r="358" spans="1:11" x14ac:dyDescent="0.25">
      <c r="A358" s="2" t="s">
        <v>2822</v>
      </c>
      <c r="B358" s="2" t="str">
        <f>"V1955179001001"</f>
        <v>V1955179001001</v>
      </c>
      <c r="C358" s="2" t="s">
        <v>3876</v>
      </c>
      <c r="D358" s="2" t="s">
        <v>2102</v>
      </c>
      <c r="E358" s="2" t="s">
        <v>3544</v>
      </c>
      <c r="F358" s="2" t="s">
        <v>13</v>
      </c>
      <c r="H358" s="2">
        <v>2012</v>
      </c>
      <c r="I358" s="2" t="s">
        <v>3877</v>
      </c>
      <c r="J358" s="2" t="s">
        <v>15</v>
      </c>
      <c r="K358" s="2" t="s">
        <v>3878</v>
      </c>
    </row>
    <row r="359" spans="1:11" x14ac:dyDescent="0.25">
      <c r="A359" s="2" t="s">
        <v>2822</v>
      </c>
      <c r="B359" s="2" t="str">
        <f>"V1955202416001"</f>
        <v>V1955202416001</v>
      </c>
      <c r="C359" s="2" t="s">
        <v>3879</v>
      </c>
      <c r="D359" s="2" t="s">
        <v>2102</v>
      </c>
      <c r="E359" s="2" t="s">
        <v>3544</v>
      </c>
      <c r="F359" s="2" t="s">
        <v>13</v>
      </c>
      <c r="H359" s="2">
        <v>2012</v>
      </c>
      <c r="I359" s="2" t="s">
        <v>3880</v>
      </c>
      <c r="J359" s="2" t="s">
        <v>15</v>
      </c>
      <c r="K359" s="2" t="s">
        <v>3881</v>
      </c>
    </row>
    <row r="360" spans="1:11" x14ac:dyDescent="0.25">
      <c r="A360" s="2" t="s">
        <v>2822</v>
      </c>
      <c r="B360" s="2" t="str">
        <f>"V1955179000001"</f>
        <v>V1955179000001</v>
      </c>
      <c r="C360" s="2" t="s">
        <v>3882</v>
      </c>
      <c r="D360" s="2" t="s">
        <v>2102</v>
      </c>
      <c r="E360" s="2" t="s">
        <v>3544</v>
      </c>
      <c r="F360" s="2" t="s">
        <v>13</v>
      </c>
      <c r="H360" s="2">
        <v>2012</v>
      </c>
      <c r="I360" s="2" t="s">
        <v>3883</v>
      </c>
      <c r="J360" s="2" t="s">
        <v>15</v>
      </c>
      <c r="K360" s="2" t="s">
        <v>3884</v>
      </c>
    </row>
    <row r="361" spans="1:11" x14ac:dyDescent="0.25">
      <c r="A361" s="2" t="s">
        <v>2822</v>
      </c>
      <c r="B361" s="2" t="str">
        <f>"V1966442391001"</f>
        <v>V1966442391001</v>
      </c>
      <c r="C361" s="2" t="s">
        <v>3885</v>
      </c>
      <c r="D361" s="2" t="s">
        <v>2102</v>
      </c>
      <c r="E361" s="2" t="s">
        <v>3544</v>
      </c>
      <c r="F361" s="2" t="s">
        <v>13</v>
      </c>
      <c r="H361" s="2">
        <v>2012</v>
      </c>
      <c r="I361" s="2" t="s">
        <v>3886</v>
      </c>
      <c r="J361" s="2" t="s">
        <v>15</v>
      </c>
      <c r="K361" s="2" t="s">
        <v>3887</v>
      </c>
    </row>
    <row r="362" spans="1:11" x14ac:dyDescent="0.25">
      <c r="A362" s="2" t="s">
        <v>2822</v>
      </c>
      <c r="B362" s="2" t="str">
        <f>"V1441275932001"</f>
        <v>V1441275932001</v>
      </c>
      <c r="C362" s="2" t="s">
        <v>3888</v>
      </c>
      <c r="D362" s="2" t="s">
        <v>2102</v>
      </c>
      <c r="E362" s="2" t="s">
        <v>3544</v>
      </c>
      <c r="F362" s="2" t="s">
        <v>13</v>
      </c>
      <c r="H362" s="2">
        <v>2012</v>
      </c>
      <c r="I362" s="2" t="s">
        <v>3889</v>
      </c>
      <c r="J362" s="2" t="s">
        <v>15</v>
      </c>
      <c r="K362" s="2" t="s">
        <v>3890</v>
      </c>
    </row>
    <row r="363" spans="1:11" x14ac:dyDescent="0.25">
      <c r="A363" s="2" t="s">
        <v>2822</v>
      </c>
      <c r="B363" s="2" t="str">
        <f>"V1478288925001"</f>
        <v>V1478288925001</v>
      </c>
      <c r="C363" s="2" t="s">
        <v>3891</v>
      </c>
      <c r="D363" s="2" t="s">
        <v>2102</v>
      </c>
      <c r="E363" s="2" t="s">
        <v>3544</v>
      </c>
      <c r="F363" s="2" t="s">
        <v>13</v>
      </c>
      <c r="H363" s="2">
        <v>2012</v>
      </c>
      <c r="I363" s="2" t="s">
        <v>3892</v>
      </c>
      <c r="J363" s="2" t="s">
        <v>15</v>
      </c>
      <c r="K363" s="2" t="s">
        <v>3893</v>
      </c>
    </row>
    <row r="364" spans="1:11" x14ac:dyDescent="0.25">
      <c r="A364" s="2" t="s">
        <v>2822</v>
      </c>
      <c r="B364" s="2" t="str">
        <f>"V1478288927001"</f>
        <v>V1478288927001</v>
      </c>
      <c r="C364" s="2" t="s">
        <v>3894</v>
      </c>
      <c r="D364" s="2" t="s">
        <v>2102</v>
      </c>
      <c r="E364" s="2" t="s">
        <v>3544</v>
      </c>
      <c r="F364" s="2" t="s">
        <v>13</v>
      </c>
      <c r="H364" s="2">
        <v>2012</v>
      </c>
      <c r="I364" s="2" t="s">
        <v>3895</v>
      </c>
      <c r="J364" s="2" t="s">
        <v>15</v>
      </c>
      <c r="K364" s="2" t="s">
        <v>3896</v>
      </c>
    </row>
    <row r="365" spans="1:11" x14ac:dyDescent="0.25">
      <c r="A365" s="2" t="s">
        <v>2822</v>
      </c>
      <c r="B365" s="2" t="str">
        <f>"V1441287617001"</f>
        <v>V1441287617001</v>
      </c>
      <c r="C365" s="2" t="s">
        <v>3897</v>
      </c>
      <c r="D365" s="2" t="s">
        <v>2102</v>
      </c>
      <c r="E365" s="2" t="s">
        <v>3544</v>
      </c>
      <c r="F365" s="2" t="s">
        <v>13</v>
      </c>
      <c r="H365" s="2">
        <v>2012</v>
      </c>
      <c r="I365" s="2" t="s">
        <v>3898</v>
      </c>
      <c r="J365" s="2" t="s">
        <v>15</v>
      </c>
      <c r="K365" s="2" t="s">
        <v>3899</v>
      </c>
    </row>
    <row r="366" spans="1:11" x14ac:dyDescent="0.25">
      <c r="A366" s="2" t="s">
        <v>2822</v>
      </c>
      <c r="B366" s="2" t="str">
        <f>"V1873326722001"</f>
        <v>V1873326722001</v>
      </c>
      <c r="C366" s="2" t="s">
        <v>3900</v>
      </c>
      <c r="D366" s="2" t="s">
        <v>475</v>
      </c>
      <c r="E366" s="2" t="s">
        <v>2903</v>
      </c>
      <c r="F366" s="2" t="s">
        <v>13</v>
      </c>
      <c r="H366" s="2">
        <v>2012</v>
      </c>
      <c r="I366" s="2" t="s">
        <v>3901</v>
      </c>
      <c r="J366" s="2" t="s">
        <v>15</v>
      </c>
      <c r="K366" s="2" t="s">
        <v>3902</v>
      </c>
    </row>
    <row r="367" spans="1:11" x14ac:dyDescent="0.25">
      <c r="A367" s="2" t="s">
        <v>2822</v>
      </c>
      <c r="B367" s="2" t="str">
        <f>"V1931803546001"</f>
        <v>V1931803546001</v>
      </c>
      <c r="C367" s="2" t="s">
        <v>3903</v>
      </c>
      <c r="D367" s="2" t="s">
        <v>1592</v>
      </c>
      <c r="E367" s="2" t="s">
        <v>2903</v>
      </c>
      <c r="F367" s="2" t="s">
        <v>13</v>
      </c>
      <c r="H367" s="2">
        <v>2012</v>
      </c>
      <c r="I367" s="2" t="s">
        <v>3904</v>
      </c>
      <c r="J367" s="2" t="s">
        <v>15</v>
      </c>
      <c r="K367" s="2" t="s">
        <v>3905</v>
      </c>
    </row>
    <row r="368" spans="1:11" x14ac:dyDescent="0.25">
      <c r="A368" s="2" t="s">
        <v>2822</v>
      </c>
      <c r="B368" s="2" t="str">
        <f>"V1931831087001"</f>
        <v>V1931831087001</v>
      </c>
      <c r="C368" s="2" t="s">
        <v>3906</v>
      </c>
      <c r="D368" s="2" t="s">
        <v>1592</v>
      </c>
      <c r="E368" s="2" t="s">
        <v>2903</v>
      </c>
      <c r="F368" s="2" t="s">
        <v>13</v>
      </c>
      <c r="H368" s="2">
        <v>2012</v>
      </c>
      <c r="I368" s="2" t="s">
        <v>3907</v>
      </c>
      <c r="J368" s="2" t="s">
        <v>15</v>
      </c>
      <c r="K368" s="2" t="s">
        <v>3908</v>
      </c>
    </row>
    <row r="369" spans="1:11" x14ac:dyDescent="0.25">
      <c r="A369" s="2" t="s">
        <v>2822</v>
      </c>
      <c r="B369" s="2" t="str">
        <f>"V1836229548001"</f>
        <v>V1836229548001</v>
      </c>
      <c r="C369" s="2" t="s">
        <v>3909</v>
      </c>
      <c r="D369" s="2" t="s">
        <v>3086</v>
      </c>
      <c r="E369" s="2" t="s">
        <v>3910</v>
      </c>
      <c r="F369" s="2" t="s">
        <v>13</v>
      </c>
      <c r="H369" s="2">
        <v>2012</v>
      </c>
      <c r="I369" s="2" t="s">
        <v>3911</v>
      </c>
      <c r="J369" s="2" t="s">
        <v>15</v>
      </c>
      <c r="K369" s="2" t="s">
        <v>3912</v>
      </c>
    </row>
    <row r="370" spans="1:11" x14ac:dyDescent="0.25">
      <c r="A370" s="2" t="s">
        <v>2822</v>
      </c>
      <c r="B370" s="2" t="str">
        <f>"V3705146114001"</f>
        <v>V3705146114001</v>
      </c>
      <c r="C370" s="2" t="s">
        <v>3913</v>
      </c>
      <c r="D370" s="2" t="s">
        <v>1919</v>
      </c>
      <c r="E370" s="2" t="s">
        <v>2903</v>
      </c>
      <c r="F370" s="2" t="s">
        <v>13</v>
      </c>
      <c r="H370" s="2">
        <v>2014</v>
      </c>
      <c r="I370" s="2" t="s">
        <v>3914</v>
      </c>
      <c r="J370" s="2" t="s">
        <v>15</v>
      </c>
      <c r="K370" s="2" t="s">
        <v>3915</v>
      </c>
    </row>
    <row r="371" spans="1:11" x14ac:dyDescent="0.25">
      <c r="A371" s="2" t="s">
        <v>2822</v>
      </c>
      <c r="B371" s="2" t="str">
        <f>"V2433899709001"</f>
        <v>V2433899709001</v>
      </c>
      <c r="C371" s="2" t="s">
        <v>3916</v>
      </c>
      <c r="D371" s="2" t="s">
        <v>2910</v>
      </c>
      <c r="E371" s="2" t="s">
        <v>2911</v>
      </c>
      <c r="F371" s="2" t="s">
        <v>13</v>
      </c>
      <c r="H371" s="2">
        <v>2013</v>
      </c>
      <c r="I371" s="2" t="s">
        <v>3917</v>
      </c>
      <c r="J371" s="2" t="s">
        <v>15</v>
      </c>
      <c r="K371" s="2" t="s">
        <v>3918</v>
      </c>
    </row>
    <row r="372" spans="1:11" x14ac:dyDescent="0.25">
      <c r="A372" s="2" t="s">
        <v>2822</v>
      </c>
      <c r="B372" s="2" t="str">
        <f>"V2433952473001"</f>
        <v>V2433952473001</v>
      </c>
      <c r="C372" s="2" t="s">
        <v>3919</v>
      </c>
      <c r="D372" s="2" t="s">
        <v>2910</v>
      </c>
      <c r="E372" s="2" t="s">
        <v>2911</v>
      </c>
      <c r="F372" s="2" t="s">
        <v>13</v>
      </c>
      <c r="H372" s="2">
        <v>2013</v>
      </c>
      <c r="I372" s="2" t="s">
        <v>3920</v>
      </c>
      <c r="J372" s="2" t="s">
        <v>15</v>
      </c>
      <c r="K372" s="2" t="s">
        <v>3921</v>
      </c>
    </row>
    <row r="373" spans="1:11" x14ac:dyDescent="0.25">
      <c r="A373" s="2" t="s">
        <v>2822</v>
      </c>
      <c r="B373" s="2" t="str">
        <f>"V2433975073001"</f>
        <v>V2433975073001</v>
      </c>
      <c r="C373" s="2" t="s">
        <v>3922</v>
      </c>
      <c r="D373" s="2" t="s">
        <v>2910</v>
      </c>
      <c r="E373" s="2" t="s">
        <v>2911</v>
      </c>
      <c r="F373" s="2" t="s">
        <v>13</v>
      </c>
      <c r="H373" s="2">
        <v>2013</v>
      </c>
      <c r="I373" s="2" t="s">
        <v>3923</v>
      </c>
      <c r="J373" s="2" t="s">
        <v>15</v>
      </c>
      <c r="K373" s="2" t="s">
        <v>3924</v>
      </c>
    </row>
    <row r="374" spans="1:11" x14ac:dyDescent="0.25">
      <c r="A374" s="2" t="s">
        <v>2822</v>
      </c>
      <c r="B374" s="2" t="str">
        <f>"V3705246411001"</f>
        <v>V3705246411001</v>
      </c>
      <c r="C374" s="2" t="s">
        <v>3925</v>
      </c>
      <c r="D374" s="2" t="s">
        <v>1919</v>
      </c>
      <c r="E374" s="2" t="s">
        <v>2903</v>
      </c>
      <c r="F374" s="2" t="s">
        <v>13</v>
      </c>
      <c r="H374" s="2">
        <v>2014</v>
      </c>
      <c r="I374" s="2" t="s">
        <v>3926</v>
      </c>
      <c r="J374" s="2" t="s">
        <v>15</v>
      </c>
      <c r="K374" s="2" t="s">
        <v>3927</v>
      </c>
    </row>
    <row r="375" spans="1:11" x14ac:dyDescent="0.25">
      <c r="A375" s="2" t="s">
        <v>2822</v>
      </c>
      <c r="B375" s="2" t="str">
        <f>"V2743287866001"</f>
        <v>V2743287866001</v>
      </c>
      <c r="C375" s="2" t="s">
        <v>3928</v>
      </c>
      <c r="D375" s="2" t="s">
        <v>1213</v>
      </c>
      <c r="E375" s="2" t="s">
        <v>3929</v>
      </c>
      <c r="F375" s="2" t="s">
        <v>13</v>
      </c>
      <c r="H375" s="2">
        <v>2011</v>
      </c>
      <c r="I375" s="2" t="s">
        <v>344</v>
      </c>
      <c r="J375" s="2" t="s">
        <v>15</v>
      </c>
      <c r="K375" s="2" t="s">
        <v>3930</v>
      </c>
    </row>
    <row r="376" spans="1:11" x14ac:dyDescent="0.25">
      <c r="A376" s="2" t="s">
        <v>2822</v>
      </c>
      <c r="B376" s="2" t="str">
        <f>"V2743287869001"</f>
        <v>V2743287869001</v>
      </c>
      <c r="C376" s="2" t="s">
        <v>3931</v>
      </c>
      <c r="D376" s="2" t="s">
        <v>1213</v>
      </c>
      <c r="E376" s="2" t="s">
        <v>3929</v>
      </c>
      <c r="F376" s="2" t="s">
        <v>13</v>
      </c>
      <c r="H376" s="2">
        <v>2011</v>
      </c>
      <c r="I376" s="2" t="s">
        <v>344</v>
      </c>
      <c r="J376" s="2" t="s">
        <v>15</v>
      </c>
      <c r="K376" s="2" t="s">
        <v>3932</v>
      </c>
    </row>
    <row r="377" spans="1:11" x14ac:dyDescent="0.25">
      <c r="A377" s="2" t="s">
        <v>2822</v>
      </c>
      <c r="B377" s="2" t="str">
        <f>"V2743257561001"</f>
        <v>V2743257561001</v>
      </c>
      <c r="C377" s="2" t="s">
        <v>3933</v>
      </c>
      <c r="D377" s="2" t="s">
        <v>1213</v>
      </c>
      <c r="E377" s="2" t="s">
        <v>3929</v>
      </c>
      <c r="F377" s="2" t="s">
        <v>13</v>
      </c>
      <c r="H377" s="2">
        <v>2011</v>
      </c>
      <c r="I377" s="2" t="s">
        <v>344</v>
      </c>
      <c r="J377" s="2" t="s">
        <v>15</v>
      </c>
      <c r="K377" s="2" t="s">
        <v>3934</v>
      </c>
    </row>
    <row r="378" spans="1:11" x14ac:dyDescent="0.25">
      <c r="A378" s="2" t="s">
        <v>2822</v>
      </c>
      <c r="B378" s="2" t="str">
        <f>"V2743287868001"</f>
        <v>V2743287868001</v>
      </c>
      <c r="C378" s="2" t="s">
        <v>3935</v>
      </c>
      <c r="D378" s="2" t="s">
        <v>1213</v>
      </c>
      <c r="E378" s="2" t="s">
        <v>3929</v>
      </c>
      <c r="F378" s="2" t="s">
        <v>13</v>
      </c>
      <c r="H378" s="2">
        <v>2011</v>
      </c>
      <c r="I378" s="2" t="s">
        <v>344</v>
      </c>
      <c r="J378" s="2" t="s">
        <v>15</v>
      </c>
      <c r="K378" s="2" t="s">
        <v>3936</v>
      </c>
    </row>
    <row r="379" spans="1:11" x14ac:dyDescent="0.25">
      <c r="A379" s="2" t="s">
        <v>2822</v>
      </c>
      <c r="B379" s="2" t="str">
        <f>"V2743257559001"</f>
        <v>V2743257559001</v>
      </c>
      <c r="C379" s="2" t="s">
        <v>3937</v>
      </c>
      <c r="D379" s="2" t="s">
        <v>1213</v>
      </c>
      <c r="E379" s="2" t="s">
        <v>3929</v>
      </c>
      <c r="F379" s="2" t="s">
        <v>13</v>
      </c>
      <c r="H379" s="2">
        <v>2011</v>
      </c>
      <c r="I379" s="2" t="s">
        <v>344</v>
      </c>
      <c r="J379" s="2" t="s">
        <v>15</v>
      </c>
      <c r="K379" s="2" t="s">
        <v>3938</v>
      </c>
    </row>
    <row r="380" spans="1:11" x14ac:dyDescent="0.25">
      <c r="A380" s="2" t="s">
        <v>2822</v>
      </c>
      <c r="B380" s="2" t="str">
        <f>"V2743287867001"</f>
        <v>V2743287867001</v>
      </c>
      <c r="C380" s="2" t="s">
        <v>3939</v>
      </c>
      <c r="D380" s="2" t="s">
        <v>1213</v>
      </c>
      <c r="E380" s="2" t="s">
        <v>3929</v>
      </c>
      <c r="F380" s="2" t="s">
        <v>13</v>
      </c>
      <c r="H380" s="2">
        <v>2011</v>
      </c>
      <c r="I380" s="2" t="s">
        <v>344</v>
      </c>
      <c r="J380" s="2" t="s">
        <v>15</v>
      </c>
      <c r="K380" s="2" t="s">
        <v>3940</v>
      </c>
    </row>
    <row r="381" spans="1:11" x14ac:dyDescent="0.25">
      <c r="A381" s="2" t="s">
        <v>2822</v>
      </c>
      <c r="B381" s="2" t="str">
        <f>"V2743287870001"</f>
        <v>V2743287870001</v>
      </c>
      <c r="C381" s="2" t="s">
        <v>3941</v>
      </c>
      <c r="D381" s="2" t="s">
        <v>1213</v>
      </c>
      <c r="E381" s="2" t="s">
        <v>3929</v>
      </c>
      <c r="F381" s="2" t="s">
        <v>13</v>
      </c>
      <c r="H381" s="2">
        <v>2011</v>
      </c>
      <c r="I381" s="2" t="s">
        <v>344</v>
      </c>
      <c r="J381" s="2" t="s">
        <v>15</v>
      </c>
      <c r="K381" s="2" t="s">
        <v>3942</v>
      </c>
    </row>
    <row r="382" spans="1:11" x14ac:dyDescent="0.25">
      <c r="A382" s="2" t="s">
        <v>2822</v>
      </c>
      <c r="B382" s="2" t="str">
        <f>"V2743257564001"</f>
        <v>V2743257564001</v>
      </c>
      <c r="C382" s="2" t="s">
        <v>3943</v>
      </c>
      <c r="D382" s="2" t="s">
        <v>1213</v>
      </c>
      <c r="E382" s="2" t="s">
        <v>3929</v>
      </c>
      <c r="F382" s="2" t="s">
        <v>13</v>
      </c>
      <c r="H382" s="2">
        <v>2011</v>
      </c>
      <c r="I382" s="2" t="s">
        <v>344</v>
      </c>
      <c r="J382" s="2" t="s">
        <v>15</v>
      </c>
      <c r="K382" s="2" t="s">
        <v>3944</v>
      </c>
    </row>
    <row r="383" spans="1:11" x14ac:dyDescent="0.25">
      <c r="A383" s="2" t="s">
        <v>2822</v>
      </c>
      <c r="B383" s="2" t="str">
        <f>"V2743257565001"</f>
        <v>V2743257565001</v>
      </c>
      <c r="C383" s="2" t="s">
        <v>3945</v>
      </c>
      <c r="D383" s="2" t="s">
        <v>1213</v>
      </c>
      <c r="E383" s="2" t="s">
        <v>3929</v>
      </c>
      <c r="F383" s="2" t="s">
        <v>13</v>
      </c>
      <c r="H383" s="2">
        <v>2011</v>
      </c>
      <c r="I383" s="2" t="s">
        <v>344</v>
      </c>
      <c r="J383" s="2" t="s">
        <v>15</v>
      </c>
      <c r="K383" s="2" t="s">
        <v>3946</v>
      </c>
    </row>
    <row r="384" spans="1:11" x14ac:dyDescent="0.25">
      <c r="A384" s="2" t="s">
        <v>2822</v>
      </c>
      <c r="B384" s="2" t="str">
        <f>"V2743257563001"</f>
        <v>V2743257563001</v>
      </c>
      <c r="C384" s="2" t="s">
        <v>3947</v>
      </c>
      <c r="D384" s="2" t="s">
        <v>1213</v>
      </c>
      <c r="E384" s="2" t="s">
        <v>3929</v>
      </c>
      <c r="F384" s="2" t="s">
        <v>13</v>
      </c>
      <c r="H384" s="2">
        <v>2011</v>
      </c>
      <c r="I384" s="2" t="s">
        <v>344</v>
      </c>
      <c r="J384" s="2" t="s">
        <v>15</v>
      </c>
      <c r="K384" s="2" t="s">
        <v>3948</v>
      </c>
    </row>
    <row r="385" spans="1:11" x14ac:dyDescent="0.25">
      <c r="A385" s="2" t="s">
        <v>2822</v>
      </c>
      <c r="B385" s="2" t="str">
        <f>"V2743257562001"</f>
        <v>V2743257562001</v>
      </c>
      <c r="C385" s="2" t="s">
        <v>3949</v>
      </c>
      <c r="D385" s="2" t="s">
        <v>1213</v>
      </c>
      <c r="E385" s="2" t="s">
        <v>3929</v>
      </c>
      <c r="F385" s="2" t="s">
        <v>13</v>
      </c>
      <c r="H385" s="2">
        <v>2011</v>
      </c>
      <c r="I385" s="2" t="s">
        <v>344</v>
      </c>
      <c r="J385" s="2" t="s">
        <v>15</v>
      </c>
      <c r="K385" s="2" t="s">
        <v>3950</v>
      </c>
    </row>
    <row r="386" spans="1:11" x14ac:dyDescent="0.25">
      <c r="A386" s="2" t="s">
        <v>2822</v>
      </c>
      <c r="B386" s="2" t="str">
        <f>"V2743257560001"</f>
        <v>V2743257560001</v>
      </c>
      <c r="C386" s="2" t="s">
        <v>3951</v>
      </c>
      <c r="D386" s="2" t="s">
        <v>1213</v>
      </c>
      <c r="E386" s="2" t="s">
        <v>3929</v>
      </c>
      <c r="F386" s="2" t="s">
        <v>13</v>
      </c>
      <c r="H386" s="2">
        <v>2011</v>
      </c>
      <c r="I386" s="2" t="s">
        <v>344</v>
      </c>
      <c r="J386" s="2" t="s">
        <v>15</v>
      </c>
      <c r="K386" s="2" t="s">
        <v>3952</v>
      </c>
    </row>
    <row r="387" spans="1:11" x14ac:dyDescent="0.25">
      <c r="A387" s="2" t="s">
        <v>2822</v>
      </c>
      <c r="B387" s="2" t="str">
        <f>"V5529315848001"</f>
        <v>V5529315848001</v>
      </c>
      <c r="C387" s="2" t="s">
        <v>3953</v>
      </c>
      <c r="D387" s="2" t="s">
        <v>3471</v>
      </c>
      <c r="E387" s="2" t="s">
        <v>3472</v>
      </c>
      <c r="F387" s="2" t="s">
        <v>13</v>
      </c>
      <c r="H387" s="2">
        <v>2017</v>
      </c>
      <c r="I387" s="2" t="s">
        <v>3954</v>
      </c>
      <c r="J387" s="2" t="s">
        <v>15</v>
      </c>
      <c r="K387" s="2" t="s">
        <v>3955</v>
      </c>
    </row>
    <row r="388" spans="1:11" x14ac:dyDescent="0.25">
      <c r="A388" s="2" t="s">
        <v>2822</v>
      </c>
      <c r="B388" s="2" t="str">
        <f>"V5534141214001"</f>
        <v>V5534141214001</v>
      </c>
      <c r="C388" s="2" t="s">
        <v>3956</v>
      </c>
      <c r="D388" s="2" t="s">
        <v>3471</v>
      </c>
      <c r="E388" s="2" t="s">
        <v>3472</v>
      </c>
      <c r="F388" s="2" t="s">
        <v>13</v>
      </c>
      <c r="H388" s="2">
        <v>2017</v>
      </c>
      <c r="I388" s="2" t="s">
        <v>3957</v>
      </c>
      <c r="J388" s="2" t="s">
        <v>15</v>
      </c>
      <c r="K388" s="2" t="s">
        <v>3958</v>
      </c>
    </row>
    <row r="389" spans="1:11" x14ac:dyDescent="0.25">
      <c r="A389" s="2" t="s">
        <v>2822</v>
      </c>
      <c r="B389" s="2" t="str">
        <f>"V5529322798001"</f>
        <v>V5529322798001</v>
      </c>
      <c r="C389" s="2" t="s">
        <v>3959</v>
      </c>
      <c r="D389" s="2" t="s">
        <v>3471</v>
      </c>
      <c r="E389" s="2" t="s">
        <v>3472</v>
      </c>
      <c r="F389" s="2" t="s">
        <v>13</v>
      </c>
      <c r="H389" s="2">
        <v>2017</v>
      </c>
      <c r="I389" s="2" t="s">
        <v>3960</v>
      </c>
      <c r="J389" s="2" t="s">
        <v>15</v>
      </c>
      <c r="K389" s="2" t="s">
        <v>3961</v>
      </c>
    </row>
    <row r="390" spans="1:11" x14ac:dyDescent="0.25">
      <c r="A390" s="2" t="s">
        <v>2822</v>
      </c>
      <c r="B390" s="2" t="str">
        <f>"V5529304968001"</f>
        <v>V5529304968001</v>
      </c>
      <c r="C390" s="2" t="s">
        <v>3962</v>
      </c>
      <c r="D390" s="2" t="s">
        <v>3471</v>
      </c>
      <c r="E390" s="2" t="s">
        <v>3472</v>
      </c>
      <c r="F390" s="2" t="s">
        <v>13</v>
      </c>
      <c r="H390" s="2">
        <v>2017</v>
      </c>
      <c r="I390" s="2" t="s">
        <v>3963</v>
      </c>
      <c r="J390" s="2" t="s">
        <v>15</v>
      </c>
      <c r="K390" s="2" t="s">
        <v>3964</v>
      </c>
    </row>
    <row r="391" spans="1:11" x14ac:dyDescent="0.25">
      <c r="A391" s="2" t="s">
        <v>2822</v>
      </c>
      <c r="B391" s="2" t="str">
        <f>"V5529304967001"</f>
        <v>V5529304967001</v>
      </c>
      <c r="C391" s="2" t="s">
        <v>3965</v>
      </c>
      <c r="D391" s="2" t="s">
        <v>3471</v>
      </c>
      <c r="E391" s="2" t="s">
        <v>3472</v>
      </c>
      <c r="F391" s="2" t="s">
        <v>13</v>
      </c>
      <c r="H391" s="2">
        <v>2017</v>
      </c>
      <c r="I391" s="2" t="s">
        <v>3966</v>
      </c>
      <c r="J391" s="2" t="s">
        <v>15</v>
      </c>
      <c r="K391" s="2" t="s">
        <v>3967</v>
      </c>
    </row>
    <row r="392" spans="1:11" x14ac:dyDescent="0.25">
      <c r="A392" s="2" t="s">
        <v>2822</v>
      </c>
      <c r="B392" s="2" t="str">
        <f>"V5529318690001"</f>
        <v>V5529318690001</v>
      </c>
      <c r="C392" s="2" t="s">
        <v>3968</v>
      </c>
      <c r="D392" s="2" t="s">
        <v>3471</v>
      </c>
      <c r="E392" s="2" t="s">
        <v>3472</v>
      </c>
      <c r="F392" s="2" t="s">
        <v>13</v>
      </c>
      <c r="H392" s="2">
        <v>2017</v>
      </c>
      <c r="I392" s="2" t="s">
        <v>3969</v>
      </c>
      <c r="J392" s="2" t="s">
        <v>15</v>
      </c>
      <c r="K392" s="2" t="s">
        <v>3970</v>
      </c>
    </row>
    <row r="393" spans="1:11" x14ac:dyDescent="0.25">
      <c r="A393" s="2" t="s">
        <v>2822</v>
      </c>
      <c r="B393" s="2" t="str">
        <f>"V5529327014001"</f>
        <v>V5529327014001</v>
      </c>
      <c r="C393" s="2" t="s">
        <v>3971</v>
      </c>
      <c r="D393" s="2" t="s">
        <v>3471</v>
      </c>
      <c r="E393" s="2" t="s">
        <v>3472</v>
      </c>
      <c r="F393" s="2" t="s">
        <v>13</v>
      </c>
      <c r="H393" s="2">
        <v>2017</v>
      </c>
      <c r="I393" s="2" t="s">
        <v>3972</v>
      </c>
      <c r="J393" s="2" t="s">
        <v>15</v>
      </c>
      <c r="K393" s="2" t="s">
        <v>3973</v>
      </c>
    </row>
    <row r="394" spans="1:11" x14ac:dyDescent="0.25">
      <c r="A394" s="2" t="s">
        <v>2822</v>
      </c>
      <c r="B394" s="2" t="str">
        <f>"V5529327013001"</f>
        <v>V5529327013001</v>
      </c>
      <c r="C394" s="2" t="s">
        <v>3974</v>
      </c>
      <c r="D394" s="2" t="s">
        <v>3471</v>
      </c>
      <c r="E394" s="2" t="s">
        <v>3472</v>
      </c>
      <c r="F394" s="2" t="s">
        <v>13</v>
      </c>
      <c r="H394" s="2">
        <v>2017</v>
      </c>
      <c r="I394" s="2" t="s">
        <v>3975</v>
      </c>
      <c r="J394" s="2" t="s">
        <v>15</v>
      </c>
      <c r="K394" s="2" t="s">
        <v>3976</v>
      </c>
    </row>
    <row r="395" spans="1:11" x14ac:dyDescent="0.25">
      <c r="A395" s="2" t="s">
        <v>2822</v>
      </c>
      <c r="B395" s="2" t="str">
        <f>"V5529318692001"</f>
        <v>V5529318692001</v>
      </c>
      <c r="C395" s="2" t="s">
        <v>3977</v>
      </c>
      <c r="D395" s="2" t="s">
        <v>3471</v>
      </c>
      <c r="E395" s="2" t="s">
        <v>3472</v>
      </c>
      <c r="F395" s="2" t="s">
        <v>13</v>
      </c>
      <c r="H395" s="2">
        <v>2017</v>
      </c>
      <c r="I395" s="2" t="s">
        <v>3978</v>
      </c>
      <c r="J395" s="2" t="s">
        <v>15</v>
      </c>
      <c r="K395" s="2" t="s">
        <v>3979</v>
      </c>
    </row>
    <row r="396" spans="1:11" x14ac:dyDescent="0.25">
      <c r="A396" s="2" t="s">
        <v>2822</v>
      </c>
      <c r="B396" s="2" t="str">
        <f>"V5529327016001"</f>
        <v>V5529327016001</v>
      </c>
      <c r="C396" s="2" t="s">
        <v>3980</v>
      </c>
      <c r="D396" s="2" t="s">
        <v>3471</v>
      </c>
      <c r="E396" s="2" t="s">
        <v>3472</v>
      </c>
      <c r="F396" s="2" t="s">
        <v>13</v>
      </c>
      <c r="H396" s="2">
        <v>2017</v>
      </c>
      <c r="I396" s="2" t="s">
        <v>3981</v>
      </c>
      <c r="J396" s="2" t="s">
        <v>15</v>
      </c>
      <c r="K396" s="2" t="s">
        <v>3982</v>
      </c>
    </row>
    <row r="397" spans="1:11" x14ac:dyDescent="0.25">
      <c r="A397" s="2" t="s">
        <v>2822</v>
      </c>
      <c r="B397" s="2" t="str">
        <f>"V5529322797001"</f>
        <v>V5529322797001</v>
      </c>
      <c r="C397" s="2" t="s">
        <v>3983</v>
      </c>
      <c r="D397" s="2" t="s">
        <v>3471</v>
      </c>
      <c r="E397" s="2" t="s">
        <v>3472</v>
      </c>
      <c r="F397" s="2" t="s">
        <v>13</v>
      </c>
      <c r="H397" s="2">
        <v>2017</v>
      </c>
      <c r="I397" s="2" t="s">
        <v>3984</v>
      </c>
      <c r="J397" s="2" t="s">
        <v>15</v>
      </c>
      <c r="K397" s="2" t="s">
        <v>3985</v>
      </c>
    </row>
    <row r="398" spans="1:11" x14ac:dyDescent="0.25">
      <c r="A398" s="2" t="s">
        <v>2822</v>
      </c>
      <c r="B398" s="2" t="str">
        <f>"V5529322796001"</f>
        <v>V5529322796001</v>
      </c>
      <c r="C398" s="2" t="s">
        <v>3986</v>
      </c>
      <c r="D398" s="2" t="s">
        <v>3471</v>
      </c>
      <c r="E398" s="2" t="s">
        <v>3472</v>
      </c>
      <c r="F398" s="2" t="s">
        <v>13</v>
      </c>
      <c r="H398" s="2">
        <v>2017</v>
      </c>
      <c r="I398" s="2" t="s">
        <v>3987</v>
      </c>
      <c r="J398" s="2" t="s">
        <v>15</v>
      </c>
      <c r="K398" s="2" t="s">
        <v>3988</v>
      </c>
    </row>
    <row r="399" spans="1:11" x14ac:dyDescent="0.25">
      <c r="A399" s="2" t="s">
        <v>2822</v>
      </c>
      <c r="B399" s="2" t="str">
        <f>"V5529318689001"</f>
        <v>V5529318689001</v>
      </c>
      <c r="C399" s="2" t="s">
        <v>3989</v>
      </c>
      <c r="D399" s="2" t="s">
        <v>3471</v>
      </c>
      <c r="E399" s="2" t="s">
        <v>3472</v>
      </c>
      <c r="F399" s="2" t="s">
        <v>13</v>
      </c>
      <c r="H399" s="2">
        <v>2017</v>
      </c>
      <c r="I399" s="2" t="s">
        <v>3990</v>
      </c>
      <c r="J399" s="2" t="s">
        <v>15</v>
      </c>
      <c r="K399" s="2" t="s">
        <v>3991</v>
      </c>
    </row>
    <row r="400" spans="1:11" x14ac:dyDescent="0.25">
      <c r="A400" s="2" t="s">
        <v>2822</v>
      </c>
      <c r="B400" s="2" t="str">
        <f>"V5529315851001"</f>
        <v>V5529315851001</v>
      </c>
      <c r="C400" s="2" t="s">
        <v>3992</v>
      </c>
      <c r="D400" s="2" t="s">
        <v>3471</v>
      </c>
      <c r="E400" s="2" t="s">
        <v>3472</v>
      </c>
      <c r="F400" s="2" t="s">
        <v>13</v>
      </c>
      <c r="H400" s="2">
        <v>2017</v>
      </c>
      <c r="I400" s="2" t="s">
        <v>3993</v>
      </c>
      <c r="J400" s="2" t="s">
        <v>15</v>
      </c>
      <c r="K400" s="2" t="s">
        <v>3994</v>
      </c>
    </row>
    <row r="401" spans="1:11" x14ac:dyDescent="0.25">
      <c r="A401" s="2" t="s">
        <v>2822</v>
      </c>
      <c r="B401" s="2" t="str">
        <f>"V3615833515001"</f>
        <v>V3615833515001</v>
      </c>
      <c r="C401" s="2" t="s">
        <v>3995</v>
      </c>
      <c r="D401" s="2" t="s">
        <v>3111</v>
      </c>
      <c r="E401" s="2" t="s">
        <v>3112</v>
      </c>
      <c r="F401" s="2" t="s">
        <v>13</v>
      </c>
      <c r="H401" s="2">
        <v>2014</v>
      </c>
      <c r="I401" s="2" t="s">
        <v>3996</v>
      </c>
      <c r="J401" s="2" t="s">
        <v>15</v>
      </c>
      <c r="K401" s="2" t="s">
        <v>3997</v>
      </c>
    </row>
    <row r="402" spans="1:11" x14ac:dyDescent="0.25">
      <c r="A402" s="2" t="s">
        <v>2822</v>
      </c>
      <c r="B402" s="2" t="str">
        <f>"V2433899710001"</f>
        <v>V2433899710001</v>
      </c>
      <c r="C402" s="2" t="s">
        <v>3998</v>
      </c>
      <c r="D402" s="2" t="s">
        <v>2910</v>
      </c>
      <c r="E402" s="2" t="s">
        <v>2911</v>
      </c>
      <c r="F402" s="2" t="s">
        <v>13</v>
      </c>
      <c r="H402" s="2">
        <v>2013</v>
      </c>
      <c r="I402" s="2" t="s">
        <v>3999</v>
      </c>
      <c r="J402" s="2" t="s">
        <v>15</v>
      </c>
      <c r="K402" s="2" t="s">
        <v>4000</v>
      </c>
    </row>
    <row r="403" spans="1:11" x14ac:dyDescent="0.25">
      <c r="A403" s="2" t="s">
        <v>2822</v>
      </c>
      <c r="B403" s="2" t="str">
        <f>"V4768134741001"</f>
        <v>V4768134741001</v>
      </c>
      <c r="C403" s="2" t="s">
        <v>4001</v>
      </c>
      <c r="D403" s="2" t="s">
        <v>2172</v>
      </c>
      <c r="E403" s="2" t="s">
        <v>2824</v>
      </c>
      <c r="F403" s="2" t="s">
        <v>13</v>
      </c>
      <c r="H403" s="2">
        <v>2016</v>
      </c>
      <c r="I403" s="2" t="s">
        <v>2825</v>
      </c>
      <c r="J403" s="2" t="s">
        <v>15</v>
      </c>
      <c r="K403" s="2" t="s">
        <v>4002</v>
      </c>
    </row>
    <row r="404" spans="1:11" x14ac:dyDescent="0.25">
      <c r="A404" s="2" t="s">
        <v>2822</v>
      </c>
      <c r="B404" s="2" t="str">
        <f>"V1402381064001"</f>
        <v>V1402381064001</v>
      </c>
      <c r="C404" s="2" t="s">
        <v>4003</v>
      </c>
      <c r="D404" s="2" t="s">
        <v>550</v>
      </c>
      <c r="E404" s="2" t="s">
        <v>3269</v>
      </c>
      <c r="F404" s="2" t="s">
        <v>13</v>
      </c>
      <c r="H404" s="2">
        <v>2011</v>
      </c>
      <c r="I404" s="2" t="s">
        <v>4004</v>
      </c>
      <c r="J404" s="2" t="s">
        <v>15</v>
      </c>
      <c r="K404" s="2" t="s">
        <v>4005</v>
      </c>
    </row>
    <row r="405" spans="1:11" x14ac:dyDescent="0.25">
      <c r="A405" s="2" t="s">
        <v>2822</v>
      </c>
      <c r="B405" s="2" t="str">
        <f>"V3615833516001"</f>
        <v>V3615833516001</v>
      </c>
      <c r="C405" s="2" t="s">
        <v>4006</v>
      </c>
      <c r="D405" s="2" t="s">
        <v>3111</v>
      </c>
      <c r="E405" s="2" t="s">
        <v>3112</v>
      </c>
      <c r="F405" s="2" t="s">
        <v>13</v>
      </c>
      <c r="H405" s="2">
        <v>2014</v>
      </c>
      <c r="I405" s="2" t="s">
        <v>4007</v>
      </c>
      <c r="J405" s="2" t="s">
        <v>15</v>
      </c>
      <c r="K405" s="2" t="s">
        <v>4008</v>
      </c>
    </row>
    <row r="406" spans="1:11" x14ac:dyDescent="0.25">
      <c r="A406" s="2" t="s">
        <v>2822</v>
      </c>
      <c r="B406" s="2" t="str">
        <f>"V5762529489001"</f>
        <v>V5762529489001</v>
      </c>
      <c r="C406" s="2" t="s">
        <v>4009</v>
      </c>
      <c r="D406" s="2" t="s">
        <v>2511</v>
      </c>
      <c r="E406" s="2" t="s">
        <v>3124</v>
      </c>
      <c r="F406" s="2" t="s">
        <v>13</v>
      </c>
      <c r="H406" s="2">
        <v>2018</v>
      </c>
      <c r="I406" s="2" t="s">
        <v>4010</v>
      </c>
      <c r="J406" s="2" t="s">
        <v>15</v>
      </c>
      <c r="K406" s="2" t="s">
        <v>4011</v>
      </c>
    </row>
    <row r="407" spans="1:11" x14ac:dyDescent="0.25">
      <c r="A407" s="2" t="s">
        <v>2822</v>
      </c>
      <c r="B407" s="2" t="str">
        <f>"V3615833505001"</f>
        <v>V3615833505001</v>
      </c>
      <c r="C407" s="2" t="s">
        <v>4012</v>
      </c>
      <c r="D407" s="2" t="s">
        <v>3111</v>
      </c>
      <c r="E407" s="2" t="s">
        <v>3112</v>
      </c>
      <c r="F407" s="2" t="s">
        <v>13</v>
      </c>
      <c r="H407" s="2">
        <v>2014</v>
      </c>
      <c r="I407" s="2" t="s">
        <v>4013</v>
      </c>
      <c r="J407" s="2" t="s">
        <v>15</v>
      </c>
      <c r="K407" s="2" t="s">
        <v>4014</v>
      </c>
    </row>
    <row r="408" spans="1:11" x14ac:dyDescent="0.25">
      <c r="A408" s="2" t="s">
        <v>2822</v>
      </c>
      <c r="B408" s="2" t="str">
        <f>"V1873312999001"</f>
        <v>V1873312999001</v>
      </c>
      <c r="C408" s="2" t="s">
        <v>4015</v>
      </c>
      <c r="D408" s="2" t="s">
        <v>475</v>
      </c>
      <c r="E408" s="2" t="s">
        <v>2903</v>
      </c>
      <c r="F408" s="2" t="s">
        <v>13</v>
      </c>
      <c r="H408" s="2">
        <v>2012</v>
      </c>
      <c r="I408" s="2" t="s">
        <v>4016</v>
      </c>
      <c r="J408" s="2" t="s">
        <v>15</v>
      </c>
      <c r="K408" s="2" t="s">
        <v>4017</v>
      </c>
    </row>
    <row r="409" spans="1:11" x14ac:dyDescent="0.25">
      <c r="A409" s="2" t="s">
        <v>2822</v>
      </c>
      <c r="B409" s="2" t="str">
        <f>"V1873326699001"</f>
        <v>V1873326699001</v>
      </c>
      <c r="C409" s="2" t="s">
        <v>4018</v>
      </c>
      <c r="D409" s="2" t="s">
        <v>475</v>
      </c>
      <c r="E409" s="2" t="s">
        <v>2903</v>
      </c>
      <c r="F409" s="2" t="s">
        <v>13</v>
      </c>
      <c r="H409" s="2">
        <v>2012</v>
      </c>
      <c r="I409" s="2" t="s">
        <v>4019</v>
      </c>
      <c r="J409" s="2" t="s">
        <v>15</v>
      </c>
      <c r="K409" s="2" t="s">
        <v>4020</v>
      </c>
    </row>
    <row r="410" spans="1:11" x14ac:dyDescent="0.25">
      <c r="A410" s="2" t="s">
        <v>2822</v>
      </c>
      <c r="B410" s="2" t="str">
        <f>"V3615833517001"</f>
        <v>V3615833517001</v>
      </c>
      <c r="C410" s="2" t="s">
        <v>4021</v>
      </c>
      <c r="D410" s="2" t="s">
        <v>3111</v>
      </c>
      <c r="E410" s="2" t="s">
        <v>3112</v>
      </c>
      <c r="F410" s="2" t="s">
        <v>13</v>
      </c>
      <c r="H410" s="2">
        <v>2014</v>
      </c>
      <c r="I410" s="2" t="s">
        <v>4022</v>
      </c>
      <c r="J410" s="2" t="s">
        <v>15</v>
      </c>
      <c r="K410" s="2" t="s">
        <v>4023</v>
      </c>
    </row>
    <row r="411" spans="1:11" x14ac:dyDescent="0.25">
      <c r="A411" s="2" t="s">
        <v>2822</v>
      </c>
      <c r="B411" s="2" t="str">
        <f>"V2928693123001"</f>
        <v>V2928693123001</v>
      </c>
      <c r="C411" s="2" t="s">
        <v>4024</v>
      </c>
      <c r="D411" s="2" t="s">
        <v>1843</v>
      </c>
      <c r="E411" s="2" t="s">
        <v>4025</v>
      </c>
      <c r="F411" s="2" t="s">
        <v>13</v>
      </c>
      <c r="H411" s="2">
        <v>2013</v>
      </c>
      <c r="I411" s="2" t="s">
        <v>4026</v>
      </c>
      <c r="J411" s="2" t="s">
        <v>15</v>
      </c>
      <c r="K411" s="2" t="s">
        <v>4027</v>
      </c>
    </row>
    <row r="412" spans="1:11" x14ac:dyDescent="0.25">
      <c r="A412" s="2" t="s">
        <v>2822</v>
      </c>
      <c r="B412" s="2" t="str">
        <f>"V2928693134001"</f>
        <v>V2928693134001</v>
      </c>
      <c r="C412" s="2" t="s">
        <v>4028</v>
      </c>
      <c r="D412" s="2" t="s">
        <v>1843</v>
      </c>
      <c r="E412" s="2" t="s">
        <v>4025</v>
      </c>
      <c r="F412" s="2" t="s">
        <v>13</v>
      </c>
      <c r="H412" s="2">
        <v>2013</v>
      </c>
      <c r="I412" s="2" t="s">
        <v>4029</v>
      </c>
      <c r="J412" s="2" t="s">
        <v>15</v>
      </c>
      <c r="K412" s="2" t="s">
        <v>4030</v>
      </c>
    </row>
    <row r="413" spans="1:11" x14ac:dyDescent="0.25">
      <c r="A413" s="2" t="s">
        <v>2822</v>
      </c>
      <c r="B413" s="2" t="str">
        <f>"V2928693135001"</f>
        <v>V2928693135001</v>
      </c>
      <c r="C413" s="2" t="s">
        <v>4031</v>
      </c>
      <c r="D413" s="2" t="s">
        <v>1843</v>
      </c>
      <c r="E413" s="2" t="s">
        <v>4025</v>
      </c>
      <c r="F413" s="2" t="s">
        <v>13</v>
      </c>
      <c r="H413" s="2">
        <v>2013</v>
      </c>
      <c r="I413" s="2" t="s">
        <v>4032</v>
      </c>
      <c r="J413" s="2" t="s">
        <v>15</v>
      </c>
      <c r="K413" s="2" t="s">
        <v>4033</v>
      </c>
    </row>
    <row r="414" spans="1:11" x14ac:dyDescent="0.25">
      <c r="A414" s="2" t="s">
        <v>2822</v>
      </c>
      <c r="B414" s="2" t="str">
        <f>"V2928693136001"</f>
        <v>V2928693136001</v>
      </c>
      <c r="C414" s="2" t="s">
        <v>4034</v>
      </c>
      <c r="D414" s="2" t="s">
        <v>1843</v>
      </c>
      <c r="E414" s="2" t="s">
        <v>4025</v>
      </c>
      <c r="F414" s="2" t="s">
        <v>13</v>
      </c>
      <c r="H414" s="2">
        <v>2013</v>
      </c>
      <c r="I414" s="2" t="s">
        <v>4035</v>
      </c>
      <c r="J414" s="2" t="s">
        <v>15</v>
      </c>
      <c r="K414" s="2" t="s">
        <v>4036</v>
      </c>
    </row>
    <row r="415" spans="1:11" x14ac:dyDescent="0.25">
      <c r="A415" s="2" t="s">
        <v>2822</v>
      </c>
      <c r="B415" s="2" t="str">
        <f>"V2928693137001"</f>
        <v>V2928693137001</v>
      </c>
      <c r="C415" s="2" t="s">
        <v>4037</v>
      </c>
      <c r="D415" s="2" t="s">
        <v>1843</v>
      </c>
      <c r="E415" s="2" t="s">
        <v>4025</v>
      </c>
      <c r="F415" s="2" t="s">
        <v>13</v>
      </c>
      <c r="H415" s="2">
        <v>2013</v>
      </c>
      <c r="I415" s="2" t="s">
        <v>4038</v>
      </c>
      <c r="J415" s="2" t="s">
        <v>15</v>
      </c>
      <c r="K415" s="2" t="s">
        <v>4039</v>
      </c>
    </row>
    <row r="416" spans="1:11" x14ac:dyDescent="0.25">
      <c r="A416" s="2" t="s">
        <v>2822</v>
      </c>
      <c r="B416" s="2" t="str">
        <f>"V2928693138001"</f>
        <v>V2928693138001</v>
      </c>
      <c r="C416" s="2" t="s">
        <v>4040</v>
      </c>
      <c r="D416" s="2" t="s">
        <v>1843</v>
      </c>
      <c r="E416" s="2" t="s">
        <v>4025</v>
      </c>
      <c r="F416" s="2" t="s">
        <v>13</v>
      </c>
      <c r="H416" s="2">
        <v>2013</v>
      </c>
      <c r="I416" s="2" t="s">
        <v>4041</v>
      </c>
      <c r="J416" s="2" t="s">
        <v>15</v>
      </c>
      <c r="K416" s="2" t="s">
        <v>4042</v>
      </c>
    </row>
    <row r="417" spans="1:11" x14ac:dyDescent="0.25">
      <c r="A417" s="2" t="s">
        <v>2822</v>
      </c>
      <c r="B417" s="2" t="str">
        <f>"V2928693139001"</f>
        <v>V2928693139001</v>
      </c>
      <c r="C417" s="2" t="s">
        <v>4043</v>
      </c>
      <c r="D417" s="2" t="s">
        <v>1843</v>
      </c>
      <c r="E417" s="2" t="s">
        <v>4025</v>
      </c>
      <c r="F417" s="2" t="s">
        <v>13</v>
      </c>
      <c r="H417" s="2">
        <v>2013</v>
      </c>
      <c r="I417" s="2" t="s">
        <v>4044</v>
      </c>
      <c r="J417" s="2" t="s">
        <v>15</v>
      </c>
      <c r="K417" s="2" t="s">
        <v>4045</v>
      </c>
    </row>
    <row r="418" spans="1:11" x14ac:dyDescent="0.25">
      <c r="A418" s="2" t="s">
        <v>2822</v>
      </c>
      <c r="B418" s="2" t="str">
        <f>"V2928693140001"</f>
        <v>V2928693140001</v>
      </c>
      <c r="C418" s="2" t="s">
        <v>4046</v>
      </c>
      <c r="D418" s="2" t="s">
        <v>1843</v>
      </c>
      <c r="E418" s="2" t="s">
        <v>4025</v>
      </c>
      <c r="F418" s="2" t="s">
        <v>13</v>
      </c>
      <c r="H418" s="2">
        <v>2013</v>
      </c>
      <c r="I418" s="2" t="s">
        <v>4047</v>
      </c>
      <c r="J418" s="2" t="s">
        <v>15</v>
      </c>
      <c r="K418" s="2" t="s">
        <v>4048</v>
      </c>
    </row>
    <row r="419" spans="1:11" x14ac:dyDescent="0.25">
      <c r="A419" s="2" t="s">
        <v>2822</v>
      </c>
      <c r="B419" s="2" t="str">
        <f>"V2928693124001"</f>
        <v>V2928693124001</v>
      </c>
      <c r="C419" s="2" t="s">
        <v>4049</v>
      </c>
      <c r="D419" s="2" t="s">
        <v>1843</v>
      </c>
      <c r="E419" s="2" t="s">
        <v>4025</v>
      </c>
      <c r="F419" s="2" t="s">
        <v>13</v>
      </c>
      <c r="H419" s="2">
        <v>2013</v>
      </c>
      <c r="I419" s="2" t="s">
        <v>4050</v>
      </c>
      <c r="J419" s="2" t="s">
        <v>15</v>
      </c>
      <c r="K419" s="2" t="s">
        <v>4051</v>
      </c>
    </row>
    <row r="420" spans="1:11" x14ac:dyDescent="0.25">
      <c r="A420" s="2" t="s">
        <v>2822</v>
      </c>
      <c r="B420" s="2" t="str">
        <f>"V2928693141001"</f>
        <v>V2928693141001</v>
      </c>
      <c r="C420" s="2" t="s">
        <v>4052</v>
      </c>
      <c r="D420" s="2" t="s">
        <v>1843</v>
      </c>
      <c r="E420" s="2" t="s">
        <v>4025</v>
      </c>
      <c r="F420" s="2" t="s">
        <v>13</v>
      </c>
      <c r="H420" s="2">
        <v>2013</v>
      </c>
      <c r="I420" s="2" t="s">
        <v>4053</v>
      </c>
      <c r="J420" s="2" t="s">
        <v>15</v>
      </c>
      <c r="K420" s="2" t="s">
        <v>4054</v>
      </c>
    </row>
    <row r="421" spans="1:11" x14ac:dyDescent="0.25">
      <c r="A421" s="2" t="s">
        <v>2822</v>
      </c>
      <c r="B421" s="2" t="str">
        <f>"V2928693142001"</f>
        <v>V2928693142001</v>
      </c>
      <c r="C421" s="2" t="s">
        <v>4055</v>
      </c>
      <c r="D421" s="2" t="s">
        <v>1843</v>
      </c>
      <c r="E421" s="2" t="s">
        <v>4025</v>
      </c>
      <c r="F421" s="2" t="s">
        <v>13</v>
      </c>
      <c r="H421" s="2">
        <v>2013</v>
      </c>
      <c r="I421" s="2" t="s">
        <v>4056</v>
      </c>
      <c r="J421" s="2" t="s">
        <v>15</v>
      </c>
      <c r="K421" s="2" t="s">
        <v>4057</v>
      </c>
    </row>
    <row r="422" spans="1:11" x14ac:dyDescent="0.25">
      <c r="A422" s="2" t="s">
        <v>2822</v>
      </c>
      <c r="B422" s="2" t="str">
        <f>"V2928693125001"</f>
        <v>V2928693125001</v>
      </c>
      <c r="C422" s="2" t="s">
        <v>4058</v>
      </c>
      <c r="D422" s="2" t="s">
        <v>1843</v>
      </c>
      <c r="E422" s="2" t="s">
        <v>4025</v>
      </c>
      <c r="F422" s="2" t="s">
        <v>13</v>
      </c>
      <c r="H422" s="2">
        <v>2013</v>
      </c>
      <c r="I422" s="2" t="s">
        <v>4059</v>
      </c>
      <c r="J422" s="2" t="s">
        <v>15</v>
      </c>
      <c r="K422" s="2" t="s">
        <v>4060</v>
      </c>
    </row>
    <row r="423" spans="1:11" x14ac:dyDescent="0.25">
      <c r="A423" s="2" t="s">
        <v>2822</v>
      </c>
      <c r="B423" s="2" t="str">
        <f>"V2928693126001"</f>
        <v>V2928693126001</v>
      </c>
      <c r="C423" s="2" t="s">
        <v>4061</v>
      </c>
      <c r="D423" s="2" t="s">
        <v>1843</v>
      </c>
      <c r="E423" s="2" t="s">
        <v>4025</v>
      </c>
      <c r="F423" s="2" t="s">
        <v>13</v>
      </c>
      <c r="H423" s="2">
        <v>2013</v>
      </c>
      <c r="I423" s="2" t="s">
        <v>4062</v>
      </c>
      <c r="J423" s="2" t="s">
        <v>15</v>
      </c>
      <c r="K423" s="2" t="s">
        <v>4063</v>
      </c>
    </row>
    <row r="424" spans="1:11" x14ac:dyDescent="0.25">
      <c r="A424" s="2" t="s">
        <v>2822</v>
      </c>
      <c r="B424" s="2" t="str">
        <f>"V2928693127001"</f>
        <v>V2928693127001</v>
      </c>
      <c r="C424" s="2" t="s">
        <v>4064</v>
      </c>
      <c r="D424" s="2" t="s">
        <v>1843</v>
      </c>
      <c r="E424" s="2" t="s">
        <v>4025</v>
      </c>
      <c r="F424" s="2" t="s">
        <v>13</v>
      </c>
      <c r="H424" s="2">
        <v>2013</v>
      </c>
      <c r="I424" s="2" t="s">
        <v>4065</v>
      </c>
      <c r="J424" s="2" t="s">
        <v>15</v>
      </c>
      <c r="K424" s="2" t="s">
        <v>4066</v>
      </c>
    </row>
    <row r="425" spans="1:11" x14ac:dyDescent="0.25">
      <c r="A425" s="2" t="s">
        <v>2822</v>
      </c>
      <c r="B425" s="2" t="str">
        <f>"V2928693128001"</f>
        <v>V2928693128001</v>
      </c>
      <c r="C425" s="2" t="s">
        <v>4067</v>
      </c>
      <c r="D425" s="2" t="s">
        <v>1843</v>
      </c>
      <c r="E425" s="2" t="s">
        <v>4025</v>
      </c>
      <c r="F425" s="2" t="s">
        <v>13</v>
      </c>
      <c r="H425" s="2">
        <v>2013</v>
      </c>
      <c r="I425" s="2" t="s">
        <v>4068</v>
      </c>
      <c r="J425" s="2" t="s">
        <v>15</v>
      </c>
      <c r="K425" s="2" t="s">
        <v>4069</v>
      </c>
    </row>
    <row r="426" spans="1:11" x14ac:dyDescent="0.25">
      <c r="A426" s="2" t="s">
        <v>2822</v>
      </c>
      <c r="B426" s="2" t="str">
        <f>"V2928693130001"</f>
        <v>V2928693130001</v>
      </c>
      <c r="C426" s="2" t="s">
        <v>4070</v>
      </c>
      <c r="D426" s="2" t="s">
        <v>1843</v>
      </c>
      <c r="E426" s="2" t="s">
        <v>4025</v>
      </c>
      <c r="F426" s="2" t="s">
        <v>13</v>
      </c>
      <c r="H426" s="2">
        <v>2013</v>
      </c>
      <c r="I426" s="2" t="s">
        <v>4071</v>
      </c>
      <c r="J426" s="2" t="s">
        <v>15</v>
      </c>
      <c r="K426" s="2" t="s">
        <v>4072</v>
      </c>
    </row>
    <row r="427" spans="1:11" x14ac:dyDescent="0.25">
      <c r="A427" s="2" t="s">
        <v>2822</v>
      </c>
      <c r="B427" s="2" t="str">
        <f>"V2928693129001"</f>
        <v>V2928693129001</v>
      </c>
      <c r="C427" s="2" t="s">
        <v>4073</v>
      </c>
      <c r="D427" s="2" t="s">
        <v>1843</v>
      </c>
      <c r="E427" s="2" t="s">
        <v>4025</v>
      </c>
      <c r="F427" s="2" t="s">
        <v>13</v>
      </c>
      <c r="H427" s="2">
        <v>2013</v>
      </c>
      <c r="I427" s="2" t="s">
        <v>4074</v>
      </c>
      <c r="J427" s="2" t="s">
        <v>15</v>
      </c>
      <c r="K427" s="2" t="s">
        <v>4075</v>
      </c>
    </row>
    <row r="428" spans="1:11" x14ac:dyDescent="0.25">
      <c r="A428" s="2" t="s">
        <v>2822</v>
      </c>
      <c r="B428" s="2" t="str">
        <f>"V2928693131001"</f>
        <v>V2928693131001</v>
      </c>
      <c r="C428" s="2" t="s">
        <v>4076</v>
      </c>
      <c r="D428" s="2" t="s">
        <v>1843</v>
      </c>
      <c r="E428" s="2" t="s">
        <v>4025</v>
      </c>
      <c r="F428" s="2" t="s">
        <v>13</v>
      </c>
      <c r="H428" s="2">
        <v>2013</v>
      </c>
      <c r="I428" s="2" t="s">
        <v>4077</v>
      </c>
      <c r="J428" s="2" t="s">
        <v>15</v>
      </c>
      <c r="K428" s="2" t="s">
        <v>4078</v>
      </c>
    </row>
    <row r="429" spans="1:11" x14ac:dyDescent="0.25">
      <c r="A429" s="2" t="s">
        <v>2822</v>
      </c>
      <c r="B429" s="2" t="str">
        <f>"V2928693132001"</f>
        <v>V2928693132001</v>
      </c>
      <c r="C429" s="2" t="s">
        <v>4079</v>
      </c>
      <c r="D429" s="2" t="s">
        <v>1843</v>
      </c>
      <c r="E429" s="2" t="s">
        <v>4025</v>
      </c>
      <c r="F429" s="2" t="s">
        <v>13</v>
      </c>
      <c r="H429" s="2">
        <v>2013</v>
      </c>
      <c r="I429" s="2" t="s">
        <v>4080</v>
      </c>
      <c r="J429" s="2" t="s">
        <v>15</v>
      </c>
      <c r="K429" s="2" t="s">
        <v>4081</v>
      </c>
    </row>
    <row r="430" spans="1:11" x14ac:dyDescent="0.25">
      <c r="A430" s="2" t="s">
        <v>2822</v>
      </c>
      <c r="B430" s="2" t="str">
        <f>"V2928693133001"</f>
        <v>V2928693133001</v>
      </c>
      <c r="C430" s="2" t="s">
        <v>4082</v>
      </c>
      <c r="D430" s="2" t="s">
        <v>1843</v>
      </c>
      <c r="E430" s="2" t="s">
        <v>4025</v>
      </c>
      <c r="F430" s="2" t="s">
        <v>13</v>
      </c>
      <c r="H430" s="2">
        <v>2013</v>
      </c>
      <c r="I430" s="2" t="s">
        <v>4083</v>
      </c>
      <c r="J430" s="2" t="s">
        <v>15</v>
      </c>
      <c r="K430" s="2" t="s">
        <v>4084</v>
      </c>
    </row>
    <row r="431" spans="1:11" x14ac:dyDescent="0.25">
      <c r="A431" s="2" t="s">
        <v>2822</v>
      </c>
      <c r="B431" s="2" t="str">
        <f>"V2707151783001"</f>
        <v>V2707151783001</v>
      </c>
      <c r="C431" s="2" t="s">
        <v>4085</v>
      </c>
      <c r="D431" s="2" t="s">
        <v>4086</v>
      </c>
      <c r="E431" s="2" t="s">
        <v>4087</v>
      </c>
      <c r="F431" s="2" t="s">
        <v>13</v>
      </c>
      <c r="H431" s="2">
        <v>2013</v>
      </c>
      <c r="I431" s="2" t="s">
        <v>4088</v>
      </c>
      <c r="J431" s="2" t="s">
        <v>15</v>
      </c>
      <c r="K431" s="2" t="s">
        <v>4089</v>
      </c>
    </row>
    <row r="432" spans="1:11" x14ac:dyDescent="0.25">
      <c r="A432" s="2" t="s">
        <v>2822</v>
      </c>
      <c r="B432" s="2" t="str">
        <f>"V2707151792001"</f>
        <v>V2707151792001</v>
      </c>
      <c r="C432" s="2" t="s">
        <v>4090</v>
      </c>
      <c r="D432" s="2" t="s">
        <v>4086</v>
      </c>
      <c r="E432" s="2" t="s">
        <v>4087</v>
      </c>
      <c r="F432" s="2" t="s">
        <v>13</v>
      </c>
      <c r="H432" s="2">
        <v>2013</v>
      </c>
      <c r="I432" s="2" t="s">
        <v>4091</v>
      </c>
      <c r="J432" s="2" t="s">
        <v>15</v>
      </c>
      <c r="K432" s="2" t="s">
        <v>4092</v>
      </c>
    </row>
    <row r="433" spans="1:11" x14ac:dyDescent="0.25">
      <c r="A433" s="2" t="s">
        <v>2822</v>
      </c>
      <c r="B433" s="2" t="str">
        <f>"V2707151793001"</f>
        <v>V2707151793001</v>
      </c>
      <c r="C433" s="2" t="s">
        <v>4093</v>
      </c>
      <c r="D433" s="2" t="s">
        <v>4086</v>
      </c>
      <c r="E433" s="2" t="s">
        <v>4087</v>
      </c>
      <c r="F433" s="2" t="s">
        <v>13</v>
      </c>
      <c r="H433" s="2">
        <v>2013</v>
      </c>
      <c r="I433" s="2" t="s">
        <v>4094</v>
      </c>
      <c r="J433" s="2" t="s">
        <v>15</v>
      </c>
      <c r="K433" s="2" t="s">
        <v>4095</v>
      </c>
    </row>
    <row r="434" spans="1:11" x14ac:dyDescent="0.25">
      <c r="A434" s="2" t="s">
        <v>2822</v>
      </c>
      <c r="B434" s="2" t="str">
        <f>"V2707151794001"</f>
        <v>V2707151794001</v>
      </c>
      <c r="C434" s="2" t="s">
        <v>4096</v>
      </c>
      <c r="D434" s="2" t="s">
        <v>4086</v>
      </c>
      <c r="E434" s="2" t="s">
        <v>4087</v>
      </c>
      <c r="F434" s="2" t="s">
        <v>13</v>
      </c>
      <c r="H434" s="2">
        <v>2013</v>
      </c>
      <c r="I434" s="2" t="s">
        <v>4097</v>
      </c>
      <c r="J434" s="2" t="s">
        <v>15</v>
      </c>
      <c r="K434" s="2" t="s">
        <v>4098</v>
      </c>
    </row>
    <row r="435" spans="1:11" x14ac:dyDescent="0.25">
      <c r="A435" s="2" t="s">
        <v>2822</v>
      </c>
      <c r="B435" s="2" t="str">
        <f>"V2707151795001"</f>
        <v>V2707151795001</v>
      </c>
      <c r="C435" s="2" t="s">
        <v>4099</v>
      </c>
      <c r="D435" s="2" t="s">
        <v>4086</v>
      </c>
      <c r="E435" s="2" t="s">
        <v>4087</v>
      </c>
      <c r="F435" s="2" t="s">
        <v>13</v>
      </c>
      <c r="H435" s="2">
        <v>2013</v>
      </c>
      <c r="I435" s="2" t="s">
        <v>4100</v>
      </c>
      <c r="J435" s="2" t="s">
        <v>15</v>
      </c>
      <c r="K435" s="2" t="s">
        <v>4101</v>
      </c>
    </row>
    <row r="436" spans="1:11" x14ac:dyDescent="0.25">
      <c r="A436" s="2" t="s">
        <v>2822</v>
      </c>
      <c r="B436" s="2" t="str">
        <f>"V2707151796001"</f>
        <v>V2707151796001</v>
      </c>
      <c r="C436" s="2" t="s">
        <v>4102</v>
      </c>
      <c r="D436" s="2" t="s">
        <v>4086</v>
      </c>
      <c r="E436" s="2" t="s">
        <v>4087</v>
      </c>
      <c r="F436" s="2" t="s">
        <v>13</v>
      </c>
      <c r="H436" s="2">
        <v>2013</v>
      </c>
      <c r="I436" s="2" t="s">
        <v>4103</v>
      </c>
      <c r="J436" s="2" t="s">
        <v>15</v>
      </c>
      <c r="K436" s="2" t="s">
        <v>4104</v>
      </c>
    </row>
    <row r="437" spans="1:11" x14ac:dyDescent="0.25">
      <c r="A437" s="2" t="s">
        <v>2822</v>
      </c>
      <c r="B437" s="2" t="str">
        <f>"V2707151797001"</f>
        <v>V2707151797001</v>
      </c>
      <c r="C437" s="2" t="s">
        <v>4105</v>
      </c>
      <c r="D437" s="2" t="s">
        <v>4086</v>
      </c>
      <c r="E437" s="2" t="s">
        <v>4087</v>
      </c>
      <c r="F437" s="2" t="s">
        <v>13</v>
      </c>
      <c r="H437" s="2">
        <v>2013</v>
      </c>
      <c r="I437" s="2" t="s">
        <v>4106</v>
      </c>
      <c r="J437" s="2" t="s">
        <v>15</v>
      </c>
      <c r="K437" s="2" t="s">
        <v>4107</v>
      </c>
    </row>
    <row r="438" spans="1:11" x14ac:dyDescent="0.25">
      <c r="A438" s="2" t="s">
        <v>2822</v>
      </c>
      <c r="B438" s="2" t="str">
        <f>"V2707151798001"</f>
        <v>V2707151798001</v>
      </c>
      <c r="C438" s="2" t="s">
        <v>4108</v>
      </c>
      <c r="D438" s="2" t="s">
        <v>4086</v>
      </c>
      <c r="E438" s="2" t="s">
        <v>4087</v>
      </c>
      <c r="F438" s="2" t="s">
        <v>13</v>
      </c>
      <c r="H438" s="2">
        <v>2013</v>
      </c>
      <c r="I438" s="2" t="s">
        <v>4109</v>
      </c>
      <c r="J438" s="2" t="s">
        <v>15</v>
      </c>
      <c r="K438" s="2" t="s">
        <v>4110</v>
      </c>
    </row>
    <row r="439" spans="1:11" x14ac:dyDescent="0.25">
      <c r="A439" s="2" t="s">
        <v>2822</v>
      </c>
      <c r="B439" s="2" t="str">
        <f>"V2707151799001"</f>
        <v>V2707151799001</v>
      </c>
      <c r="C439" s="2" t="s">
        <v>4111</v>
      </c>
      <c r="D439" s="2" t="s">
        <v>4086</v>
      </c>
      <c r="E439" s="2" t="s">
        <v>4087</v>
      </c>
      <c r="F439" s="2" t="s">
        <v>13</v>
      </c>
      <c r="H439" s="2">
        <v>2013</v>
      </c>
      <c r="I439" s="2" t="s">
        <v>4112</v>
      </c>
      <c r="J439" s="2" t="s">
        <v>15</v>
      </c>
      <c r="K439" s="2" t="s">
        <v>4113</v>
      </c>
    </row>
    <row r="440" spans="1:11" x14ac:dyDescent="0.25">
      <c r="A440" s="2" t="s">
        <v>2822</v>
      </c>
      <c r="B440" s="2" t="str">
        <f>"V2707151784001"</f>
        <v>V2707151784001</v>
      </c>
      <c r="C440" s="2" t="s">
        <v>4114</v>
      </c>
      <c r="D440" s="2" t="s">
        <v>4086</v>
      </c>
      <c r="E440" s="2" t="s">
        <v>4087</v>
      </c>
      <c r="F440" s="2" t="s">
        <v>13</v>
      </c>
      <c r="H440" s="2">
        <v>2013</v>
      </c>
      <c r="I440" s="2" t="s">
        <v>4115</v>
      </c>
      <c r="J440" s="2" t="s">
        <v>15</v>
      </c>
      <c r="K440" s="2" t="s">
        <v>4116</v>
      </c>
    </row>
    <row r="441" spans="1:11" x14ac:dyDescent="0.25">
      <c r="A441" s="2" t="s">
        <v>2822</v>
      </c>
      <c r="B441" s="2" t="str">
        <f>"V2707151800001"</f>
        <v>V2707151800001</v>
      </c>
      <c r="C441" s="2" t="s">
        <v>4117</v>
      </c>
      <c r="D441" s="2" t="s">
        <v>4086</v>
      </c>
      <c r="E441" s="2" t="s">
        <v>4087</v>
      </c>
      <c r="F441" s="2" t="s">
        <v>13</v>
      </c>
      <c r="H441" s="2">
        <v>2013</v>
      </c>
      <c r="I441" s="2" t="s">
        <v>4118</v>
      </c>
      <c r="J441" s="2" t="s">
        <v>15</v>
      </c>
      <c r="K441" s="2" t="s">
        <v>4119</v>
      </c>
    </row>
    <row r="442" spans="1:11" x14ac:dyDescent="0.25">
      <c r="A442" s="2" t="s">
        <v>2822</v>
      </c>
      <c r="B442" s="2" t="str">
        <f>"V2707151801001"</f>
        <v>V2707151801001</v>
      </c>
      <c r="C442" s="2" t="s">
        <v>4120</v>
      </c>
      <c r="D442" s="2" t="s">
        <v>4086</v>
      </c>
      <c r="E442" s="2" t="s">
        <v>4087</v>
      </c>
      <c r="F442" s="2" t="s">
        <v>13</v>
      </c>
      <c r="H442" s="2">
        <v>2013</v>
      </c>
      <c r="I442" s="2" t="s">
        <v>4121</v>
      </c>
      <c r="J442" s="2" t="s">
        <v>15</v>
      </c>
      <c r="K442" s="2" t="s">
        <v>4122</v>
      </c>
    </row>
    <row r="443" spans="1:11" x14ac:dyDescent="0.25">
      <c r="A443" s="2" t="s">
        <v>2822</v>
      </c>
      <c r="B443" s="2" t="str">
        <f>"V2707151802001"</f>
        <v>V2707151802001</v>
      </c>
      <c r="C443" s="2" t="s">
        <v>4123</v>
      </c>
      <c r="D443" s="2" t="s">
        <v>4086</v>
      </c>
      <c r="E443" s="2" t="s">
        <v>4087</v>
      </c>
      <c r="F443" s="2" t="s">
        <v>13</v>
      </c>
      <c r="H443" s="2">
        <v>2013</v>
      </c>
      <c r="I443" s="2" t="s">
        <v>4124</v>
      </c>
      <c r="J443" s="2" t="s">
        <v>15</v>
      </c>
      <c r="K443" s="2" t="s">
        <v>4125</v>
      </c>
    </row>
    <row r="444" spans="1:11" x14ac:dyDescent="0.25">
      <c r="A444" s="2" t="s">
        <v>2822</v>
      </c>
      <c r="B444" s="2" t="str">
        <f>"V2707151803001"</f>
        <v>V2707151803001</v>
      </c>
      <c r="C444" s="2" t="s">
        <v>4126</v>
      </c>
      <c r="D444" s="2" t="s">
        <v>4086</v>
      </c>
      <c r="E444" s="2" t="s">
        <v>4087</v>
      </c>
      <c r="F444" s="2" t="s">
        <v>13</v>
      </c>
      <c r="H444" s="2">
        <v>2013</v>
      </c>
      <c r="I444" s="2" t="s">
        <v>4127</v>
      </c>
      <c r="J444" s="2" t="s">
        <v>15</v>
      </c>
      <c r="K444" s="2" t="s">
        <v>4128</v>
      </c>
    </row>
    <row r="445" spans="1:11" x14ac:dyDescent="0.25">
      <c r="A445" s="2" t="s">
        <v>2822</v>
      </c>
      <c r="B445" s="2" t="str">
        <f>"V2707151804001"</f>
        <v>V2707151804001</v>
      </c>
      <c r="C445" s="2" t="s">
        <v>4129</v>
      </c>
      <c r="D445" s="2" t="s">
        <v>4086</v>
      </c>
      <c r="E445" s="2" t="s">
        <v>4087</v>
      </c>
      <c r="F445" s="2" t="s">
        <v>13</v>
      </c>
      <c r="H445" s="2">
        <v>2013</v>
      </c>
      <c r="I445" s="2" t="s">
        <v>4130</v>
      </c>
      <c r="J445" s="2" t="s">
        <v>15</v>
      </c>
      <c r="K445" s="2" t="s">
        <v>4131</v>
      </c>
    </row>
    <row r="446" spans="1:11" x14ac:dyDescent="0.25">
      <c r="A446" s="2" t="s">
        <v>2822</v>
      </c>
      <c r="B446" s="2" t="str">
        <f>"V2707151805001"</f>
        <v>V2707151805001</v>
      </c>
      <c r="C446" s="2" t="s">
        <v>4132</v>
      </c>
      <c r="D446" s="2" t="s">
        <v>4086</v>
      </c>
      <c r="E446" s="2" t="s">
        <v>4087</v>
      </c>
      <c r="F446" s="2" t="s">
        <v>13</v>
      </c>
      <c r="H446" s="2">
        <v>2013</v>
      </c>
      <c r="I446" s="2" t="s">
        <v>4133</v>
      </c>
      <c r="J446" s="2" t="s">
        <v>15</v>
      </c>
      <c r="K446" s="2" t="s">
        <v>4134</v>
      </c>
    </row>
    <row r="447" spans="1:11" x14ac:dyDescent="0.25">
      <c r="A447" s="2" t="s">
        <v>2822</v>
      </c>
      <c r="B447" s="2" t="str">
        <f>"V2707151785001"</f>
        <v>V2707151785001</v>
      </c>
      <c r="C447" s="2" t="s">
        <v>4135</v>
      </c>
      <c r="D447" s="2" t="s">
        <v>4086</v>
      </c>
      <c r="E447" s="2" t="s">
        <v>4087</v>
      </c>
      <c r="F447" s="2" t="s">
        <v>13</v>
      </c>
      <c r="H447" s="2">
        <v>2013</v>
      </c>
      <c r="I447" s="2" t="s">
        <v>4136</v>
      </c>
      <c r="J447" s="2" t="s">
        <v>15</v>
      </c>
      <c r="K447" s="2" t="s">
        <v>4137</v>
      </c>
    </row>
    <row r="448" spans="1:11" x14ac:dyDescent="0.25">
      <c r="A448" s="2" t="s">
        <v>2822</v>
      </c>
      <c r="B448" s="2" t="str">
        <f>"V2707151806001"</f>
        <v>V2707151806001</v>
      </c>
      <c r="C448" s="2" t="s">
        <v>4138</v>
      </c>
      <c r="D448" s="2" t="s">
        <v>4086</v>
      </c>
      <c r="E448" s="2" t="s">
        <v>4087</v>
      </c>
      <c r="F448" s="2" t="s">
        <v>13</v>
      </c>
      <c r="H448" s="2">
        <v>2013</v>
      </c>
      <c r="I448" s="2" t="s">
        <v>4139</v>
      </c>
      <c r="J448" s="2" t="s">
        <v>15</v>
      </c>
      <c r="K448" s="2" t="s">
        <v>4140</v>
      </c>
    </row>
    <row r="449" spans="1:11" x14ac:dyDescent="0.25">
      <c r="A449" s="2" t="s">
        <v>2822</v>
      </c>
      <c r="B449" s="2" t="str">
        <f>"V2707151807001"</f>
        <v>V2707151807001</v>
      </c>
      <c r="C449" s="2" t="s">
        <v>4141</v>
      </c>
      <c r="D449" s="2" t="s">
        <v>4086</v>
      </c>
      <c r="E449" s="2" t="s">
        <v>4087</v>
      </c>
      <c r="F449" s="2" t="s">
        <v>13</v>
      </c>
      <c r="H449" s="2">
        <v>2013</v>
      </c>
      <c r="I449" s="2" t="s">
        <v>4142</v>
      </c>
      <c r="J449" s="2" t="s">
        <v>15</v>
      </c>
      <c r="K449" s="2" t="s">
        <v>4143</v>
      </c>
    </row>
    <row r="450" spans="1:11" x14ac:dyDescent="0.25">
      <c r="A450" s="2" t="s">
        <v>2822</v>
      </c>
      <c r="B450" s="2" t="str">
        <f>"V2707151786001"</f>
        <v>V2707151786001</v>
      </c>
      <c r="C450" s="2" t="s">
        <v>4144</v>
      </c>
      <c r="D450" s="2" t="s">
        <v>4086</v>
      </c>
      <c r="E450" s="2" t="s">
        <v>4087</v>
      </c>
      <c r="F450" s="2" t="s">
        <v>13</v>
      </c>
      <c r="H450" s="2">
        <v>2013</v>
      </c>
      <c r="I450" s="2" t="s">
        <v>4145</v>
      </c>
      <c r="J450" s="2" t="s">
        <v>15</v>
      </c>
      <c r="K450" s="2" t="s">
        <v>4146</v>
      </c>
    </row>
    <row r="451" spans="1:11" x14ac:dyDescent="0.25">
      <c r="A451" s="2" t="s">
        <v>2822</v>
      </c>
      <c r="B451" s="2" t="str">
        <f>"V2707151787001"</f>
        <v>V2707151787001</v>
      </c>
      <c r="C451" s="2" t="s">
        <v>4147</v>
      </c>
      <c r="D451" s="2" t="s">
        <v>4086</v>
      </c>
      <c r="E451" s="2" t="s">
        <v>4087</v>
      </c>
      <c r="F451" s="2" t="s">
        <v>13</v>
      </c>
      <c r="H451" s="2">
        <v>2013</v>
      </c>
      <c r="I451" s="2" t="s">
        <v>4148</v>
      </c>
      <c r="J451" s="2" t="s">
        <v>15</v>
      </c>
      <c r="K451" s="2" t="s">
        <v>4149</v>
      </c>
    </row>
    <row r="452" spans="1:11" x14ac:dyDescent="0.25">
      <c r="A452" s="2" t="s">
        <v>2822</v>
      </c>
      <c r="B452" s="2" t="str">
        <f>"V2707151788001"</f>
        <v>V2707151788001</v>
      </c>
      <c r="C452" s="2" t="s">
        <v>4150</v>
      </c>
      <c r="D452" s="2" t="s">
        <v>4086</v>
      </c>
      <c r="E452" s="2" t="s">
        <v>4087</v>
      </c>
      <c r="F452" s="2" t="s">
        <v>13</v>
      </c>
      <c r="H452" s="2">
        <v>2013</v>
      </c>
      <c r="I452" s="2" t="s">
        <v>4151</v>
      </c>
      <c r="J452" s="2" t="s">
        <v>15</v>
      </c>
      <c r="K452" s="2" t="s">
        <v>4152</v>
      </c>
    </row>
    <row r="453" spans="1:11" x14ac:dyDescent="0.25">
      <c r="A453" s="2" t="s">
        <v>2822</v>
      </c>
      <c r="B453" s="2" t="str">
        <f>"V2707151789001"</f>
        <v>V2707151789001</v>
      </c>
      <c r="C453" s="2" t="s">
        <v>4153</v>
      </c>
      <c r="D453" s="2" t="s">
        <v>4086</v>
      </c>
      <c r="E453" s="2" t="s">
        <v>4087</v>
      </c>
      <c r="F453" s="2" t="s">
        <v>13</v>
      </c>
      <c r="H453" s="2">
        <v>2013</v>
      </c>
      <c r="I453" s="2" t="s">
        <v>4154</v>
      </c>
      <c r="J453" s="2" t="s">
        <v>15</v>
      </c>
      <c r="K453" s="2" t="s">
        <v>4155</v>
      </c>
    </row>
    <row r="454" spans="1:11" x14ac:dyDescent="0.25">
      <c r="A454" s="2" t="s">
        <v>2822</v>
      </c>
      <c r="B454" s="2" t="str">
        <f>"V2707151790001"</f>
        <v>V2707151790001</v>
      </c>
      <c r="C454" s="2" t="s">
        <v>4156</v>
      </c>
      <c r="D454" s="2" t="s">
        <v>4086</v>
      </c>
      <c r="E454" s="2" t="s">
        <v>4087</v>
      </c>
      <c r="F454" s="2" t="s">
        <v>13</v>
      </c>
      <c r="H454" s="2">
        <v>2013</v>
      </c>
      <c r="I454" s="2" t="s">
        <v>4157</v>
      </c>
      <c r="J454" s="2" t="s">
        <v>15</v>
      </c>
      <c r="K454" s="2" t="s">
        <v>4158</v>
      </c>
    </row>
    <row r="455" spans="1:11" x14ac:dyDescent="0.25">
      <c r="A455" s="2" t="s">
        <v>2822</v>
      </c>
      <c r="B455" s="2" t="str">
        <f>"V2707151791001"</f>
        <v>V2707151791001</v>
      </c>
      <c r="C455" s="2" t="s">
        <v>4159</v>
      </c>
      <c r="D455" s="2" t="s">
        <v>4086</v>
      </c>
      <c r="E455" s="2" t="s">
        <v>4087</v>
      </c>
      <c r="F455" s="2" t="s">
        <v>13</v>
      </c>
      <c r="H455" s="2">
        <v>2013</v>
      </c>
      <c r="I455" s="2" t="s">
        <v>4160</v>
      </c>
      <c r="J455" s="2" t="s">
        <v>15</v>
      </c>
      <c r="K455" s="2" t="s">
        <v>4161</v>
      </c>
    </row>
    <row r="456" spans="1:11" x14ac:dyDescent="0.25">
      <c r="A456" s="2" t="s">
        <v>2822</v>
      </c>
      <c r="B456" s="2" t="str">
        <f>"V1402345879001"</f>
        <v>V1402345879001</v>
      </c>
      <c r="C456" s="2" t="s">
        <v>4162</v>
      </c>
      <c r="D456" s="2" t="s">
        <v>1577</v>
      </c>
      <c r="E456" s="2" t="s">
        <v>4163</v>
      </c>
      <c r="F456" s="2" t="s">
        <v>13</v>
      </c>
      <c r="H456" s="2">
        <v>2011</v>
      </c>
      <c r="I456" s="2" t="s">
        <v>4164</v>
      </c>
      <c r="J456" s="2" t="s">
        <v>15</v>
      </c>
      <c r="K456" s="2" t="s">
        <v>4165</v>
      </c>
    </row>
    <row r="457" spans="1:11" x14ac:dyDescent="0.25">
      <c r="A457" s="2" t="s">
        <v>2822</v>
      </c>
      <c r="B457" s="2" t="str">
        <f>"V1402348998001"</f>
        <v>V1402348998001</v>
      </c>
      <c r="C457" s="2" t="s">
        <v>4166</v>
      </c>
      <c r="D457" s="2" t="s">
        <v>1577</v>
      </c>
      <c r="E457" s="2" t="s">
        <v>4163</v>
      </c>
      <c r="F457" s="2" t="s">
        <v>13</v>
      </c>
      <c r="H457" s="2">
        <v>2011</v>
      </c>
      <c r="I457" s="2" t="s">
        <v>4167</v>
      </c>
      <c r="J457" s="2" t="s">
        <v>15</v>
      </c>
      <c r="K457" s="2" t="s">
        <v>4168</v>
      </c>
    </row>
    <row r="458" spans="1:11" x14ac:dyDescent="0.25">
      <c r="A458" s="2" t="s">
        <v>2822</v>
      </c>
      <c r="B458" s="2" t="str">
        <f>"V1402345878001"</f>
        <v>V1402345878001</v>
      </c>
      <c r="C458" s="2" t="s">
        <v>4169</v>
      </c>
      <c r="D458" s="2" t="s">
        <v>1577</v>
      </c>
      <c r="E458" s="2" t="s">
        <v>4163</v>
      </c>
      <c r="F458" s="2" t="s">
        <v>13</v>
      </c>
      <c r="H458" s="2">
        <v>2011</v>
      </c>
      <c r="I458" s="2" t="s">
        <v>4170</v>
      </c>
      <c r="J458" s="2" t="s">
        <v>15</v>
      </c>
      <c r="K458" s="2" t="s">
        <v>4171</v>
      </c>
    </row>
    <row r="459" spans="1:11" x14ac:dyDescent="0.25">
      <c r="A459" s="2" t="s">
        <v>2822</v>
      </c>
      <c r="B459" s="2" t="str">
        <f>"V1402345876001"</f>
        <v>V1402345876001</v>
      </c>
      <c r="C459" s="2" t="s">
        <v>4172</v>
      </c>
      <c r="D459" s="2" t="s">
        <v>1577</v>
      </c>
      <c r="E459" s="2" t="s">
        <v>4163</v>
      </c>
      <c r="F459" s="2" t="s">
        <v>13</v>
      </c>
      <c r="H459" s="2">
        <v>2011</v>
      </c>
      <c r="I459" s="2" t="s">
        <v>4173</v>
      </c>
      <c r="J459" s="2" t="s">
        <v>15</v>
      </c>
      <c r="K459" s="2" t="s">
        <v>4174</v>
      </c>
    </row>
    <row r="460" spans="1:11" x14ac:dyDescent="0.25">
      <c r="A460" s="2" t="s">
        <v>2822</v>
      </c>
      <c r="B460" s="2" t="str">
        <f>"V1402345874001"</f>
        <v>V1402345874001</v>
      </c>
      <c r="C460" s="2" t="s">
        <v>4175</v>
      </c>
      <c r="D460" s="2" t="s">
        <v>1577</v>
      </c>
      <c r="E460" s="2" t="s">
        <v>4163</v>
      </c>
      <c r="F460" s="2" t="s">
        <v>13</v>
      </c>
      <c r="H460" s="2">
        <v>2011</v>
      </c>
      <c r="I460" s="2" t="s">
        <v>4176</v>
      </c>
      <c r="J460" s="2" t="s">
        <v>15</v>
      </c>
      <c r="K460" s="2" t="s">
        <v>4177</v>
      </c>
    </row>
    <row r="461" spans="1:11" x14ac:dyDescent="0.25">
      <c r="A461" s="2" t="s">
        <v>2822</v>
      </c>
      <c r="B461" s="2" t="str">
        <f>"V1402348996001"</f>
        <v>V1402348996001</v>
      </c>
      <c r="C461" s="2" t="s">
        <v>4178</v>
      </c>
      <c r="D461" s="2" t="s">
        <v>1577</v>
      </c>
      <c r="E461" s="2" t="s">
        <v>4163</v>
      </c>
      <c r="F461" s="2" t="s">
        <v>13</v>
      </c>
      <c r="H461" s="2">
        <v>2011</v>
      </c>
      <c r="I461" s="2" t="s">
        <v>4179</v>
      </c>
      <c r="J461" s="2" t="s">
        <v>15</v>
      </c>
      <c r="K461" s="2" t="s">
        <v>4180</v>
      </c>
    </row>
    <row r="462" spans="1:11" x14ac:dyDescent="0.25">
      <c r="A462" s="2" t="s">
        <v>2822</v>
      </c>
      <c r="B462" s="2" t="str">
        <f>"V1402329340001"</f>
        <v>V1402329340001</v>
      </c>
      <c r="C462" s="2" t="s">
        <v>4181</v>
      </c>
      <c r="D462" s="2" t="s">
        <v>1577</v>
      </c>
      <c r="E462" s="2" t="s">
        <v>4163</v>
      </c>
      <c r="F462" s="2" t="s">
        <v>13</v>
      </c>
      <c r="H462" s="2">
        <v>2011</v>
      </c>
      <c r="I462" s="2" t="s">
        <v>4182</v>
      </c>
      <c r="J462" s="2" t="s">
        <v>15</v>
      </c>
      <c r="K462" s="2" t="s">
        <v>4183</v>
      </c>
    </row>
    <row r="463" spans="1:11" x14ac:dyDescent="0.25">
      <c r="A463" s="2" t="s">
        <v>2822</v>
      </c>
      <c r="B463" s="2" t="str">
        <f>"V1402345873001"</f>
        <v>V1402345873001</v>
      </c>
      <c r="C463" s="2" t="s">
        <v>4184</v>
      </c>
      <c r="D463" s="2" t="s">
        <v>1577</v>
      </c>
      <c r="E463" s="2" t="s">
        <v>4163</v>
      </c>
      <c r="F463" s="2" t="s">
        <v>13</v>
      </c>
      <c r="H463" s="2">
        <v>2011</v>
      </c>
      <c r="I463" s="2" t="s">
        <v>4185</v>
      </c>
      <c r="J463" s="2" t="s">
        <v>15</v>
      </c>
      <c r="K463" s="2" t="s">
        <v>4186</v>
      </c>
    </row>
    <row r="464" spans="1:11" x14ac:dyDescent="0.25">
      <c r="A464" s="2" t="s">
        <v>2822</v>
      </c>
      <c r="B464" s="2" t="str">
        <f>"V1402348995001"</f>
        <v>V1402348995001</v>
      </c>
      <c r="C464" s="2" t="s">
        <v>4187</v>
      </c>
      <c r="D464" s="2" t="s">
        <v>1577</v>
      </c>
      <c r="E464" s="2" t="s">
        <v>4163</v>
      </c>
      <c r="F464" s="2" t="s">
        <v>13</v>
      </c>
      <c r="H464" s="2">
        <v>2011</v>
      </c>
      <c r="I464" s="2" t="s">
        <v>4188</v>
      </c>
      <c r="J464" s="2" t="s">
        <v>15</v>
      </c>
      <c r="K464" s="2" t="s">
        <v>4189</v>
      </c>
    </row>
    <row r="465" spans="1:11" x14ac:dyDescent="0.25">
      <c r="A465" s="2" t="s">
        <v>2822</v>
      </c>
      <c r="B465" s="2" t="str">
        <f>"V1402329339001"</f>
        <v>V1402329339001</v>
      </c>
      <c r="C465" s="2" t="s">
        <v>4190</v>
      </c>
      <c r="D465" s="2" t="s">
        <v>1577</v>
      </c>
      <c r="E465" s="2" t="s">
        <v>4163</v>
      </c>
      <c r="F465" s="2" t="s">
        <v>13</v>
      </c>
      <c r="H465" s="2">
        <v>2011</v>
      </c>
      <c r="I465" s="2" t="s">
        <v>4191</v>
      </c>
      <c r="J465" s="2" t="s">
        <v>15</v>
      </c>
      <c r="K465" s="2" t="s">
        <v>4192</v>
      </c>
    </row>
    <row r="466" spans="1:11" x14ac:dyDescent="0.25">
      <c r="A466" s="2" t="s">
        <v>2822</v>
      </c>
      <c r="B466" s="2" t="str">
        <f>"V1402345872001"</f>
        <v>V1402345872001</v>
      </c>
      <c r="C466" s="2" t="s">
        <v>4193</v>
      </c>
      <c r="D466" s="2" t="s">
        <v>1577</v>
      </c>
      <c r="E466" s="2" t="s">
        <v>4163</v>
      </c>
      <c r="F466" s="2" t="s">
        <v>13</v>
      </c>
      <c r="H466" s="2">
        <v>2011</v>
      </c>
      <c r="I466" s="2" t="s">
        <v>4194</v>
      </c>
      <c r="J466" s="2" t="s">
        <v>15</v>
      </c>
      <c r="K466" s="2" t="s">
        <v>4195</v>
      </c>
    </row>
    <row r="467" spans="1:11" x14ac:dyDescent="0.25">
      <c r="A467" s="2" t="s">
        <v>2822</v>
      </c>
      <c r="B467" s="2" t="str">
        <f>"V1402348994001"</f>
        <v>V1402348994001</v>
      </c>
      <c r="C467" s="2" t="s">
        <v>4196</v>
      </c>
      <c r="D467" s="2" t="s">
        <v>1577</v>
      </c>
      <c r="E467" s="2" t="s">
        <v>4163</v>
      </c>
      <c r="F467" s="2" t="s">
        <v>13</v>
      </c>
      <c r="H467" s="2">
        <v>2011</v>
      </c>
      <c r="I467" s="2" t="s">
        <v>4197</v>
      </c>
      <c r="J467" s="2" t="s">
        <v>15</v>
      </c>
      <c r="K467" s="2" t="s">
        <v>4198</v>
      </c>
    </row>
    <row r="468" spans="1:11" x14ac:dyDescent="0.25">
      <c r="A468" s="2" t="s">
        <v>2822</v>
      </c>
      <c r="B468" s="2" t="str">
        <f>"V1402329338001"</f>
        <v>V1402329338001</v>
      </c>
      <c r="C468" s="2" t="s">
        <v>4199</v>
      </c>
      <c r="D468" s="2" t="s">
        <v>1577</v>
      </c>
      <c r="E468" s="2" t="s">
        <v>4163</v>
      </c>
      <c r="F468" s="2" t="s">
        <v>13</v>
      </c>
      <c r="H468" s="2">
        <v>2011</v>
      </c>
      <c r="I468" s="2" t="s">
        <v>4200</v>
      </c>
      <c r="J468" s="2" t="s">
        <v>15</v>
      </c>
      <c r="K468" s="2" t="s">
        <v>4201</v>
      </c>
    </row>
    <row r="469" spans="1:11" x14ac:dyDescent="0.25">
      <c r="A469" s="2" t="s">
        <v>2822</v>
      </c>
      <c r="B469" s="2" t="str">
        <f>"V1402345871001"</f>
        <v>V1402345871001</v>
      </c>
      <c r="C469" s="2" t="s">
        <v>4202</v>
      </c>
      <c r="D469" s="2" t="s">
        <v>1577</v>
      </c>
      <c r="E469" s="2" t="s">
        <v>4163</v>
      </c>
      <c r="F469" s="2" t="s">
        <v>13</v>
      </c>
      <c r="H469" s="2">
        <v>2011</v>
      </c>
      <c r="I469" s="2" t="s">
        <v>1290</v>
      </c>
      <c r="J469" s="2" t="s">
        <v>15</v>
      </c>
      <c r="K469" s="2" t="s">
        <v>4203</v>
      </c>
    </row>
    <row r="470" spans="1:11" x14ac:dyDescent="0.25">
      <c r="A470" s="2" t="s">
        <v>2822</v>
      </c>
      <c r="B470" s="2" t="str">
        <f>"V1402348993001"</f>
        <v>V1402348993001</v>
      </c>
      <c r="C470" s="2" t="s">
        <v>4204</v>
      </c>
      <c r="D470" s="2" t="s">
        <v>1577</v>
      </c>
      <c r="E470" s="2" t="s">
        <v>4163</v>
      </c>
      <c r="F470" s="2" t="s">
        <v>13</v>
      </c>
      <c r="H470" s="2">
        <v>2011</v>
      </c>
      <c r="I470" s="2" t="s">
        <v>4205</v>
      </c>
      <c r="J470" s="2" t="s">
        <v>15</v>
      </c>
      <c r="K470" s="2" t="s">
        <v>4206</v>
      </c>
    </row>
    <row r="471" spans="1:11" x14ac:dyDescent="0.25">
      <c r="A471" s="2" t="s">
        <v>2822</v>
      </c>
      <c r="B471" s="2" t="str">
        <f>"V1402349002001"</f>
        <v>V1402349002001</v>
      </c>
      <c r="C471" s="2" t="s">
        <v>4207</v>
      </c>
      <c r="D471" s="2" t="s">
        <v>1577</v>
      </c>
      <c r="E471" s="2" t="s">
        <v>4163</v>
      </c>
      <c r="F471" s="2" t="s">
        <v>13</v>
      </c>
      <c r="H471" s="2">
        <v>2011</v>
      </c>
      <c r="I471" s="2" t="s">
        <v>1290</v>
      </c>
      <c r="J471" s="2" t="s">
        <v>15</v>
      </c>
      <c r="K471" s="2" t="s">
        <v>4208</v>
      </c>
    </row>
    <row r="472" spans="1:11" x14ac:dyDescent="0.25">
      <c r="A472" s="2" t="s">
        <v>2822</v>
      </c>
      <c r="B472" s="2" t="str">
        <f>"V1402329337001"</f>
        <v>V1402329337001</v>
      </c>
      <c r="C472" s="2" t="s">
        <v>4209</v>
      </c>
      <c r="D472" s="2" t="s">
        <v>1577</v>
      </c>
      <c r="E472" s="2" t="s">
        <v>4163</v>
      </c>
      <c r="F472" s="2" t="s">
        <v>13</v>
      </c>
      <c r="H472" s="2">
        <v>2011</v>
      </c>
      <c r="I472" s="2" t="s">
        <v>4210</v>
      </c>
      <c r="J472" s="2" t="s">
        <v>15</v>
      </c>
      <c r="K472" s="2" t="s">
        <v>4211</v>
      </c>
    </row>
    <row r="473" spans="1:11" x14ac:dyDescent="0.25">
      <c r="A473" s="2" t="s">
        <v>2822</v>
      </c>
      <c r="B473" s="2" t="str">
        <f>"V1402345870001"</f>
        <v>V1402345870001</v>
      </c>
      <c r="C473" s="2" t="s">
        <v>4212</v>
      </c>
      <c r="D473" s="2" t="s">
        <v>1577</v>
      </c>
      <c r="E473" s="2" t="s">
        <v>4163</v>
      </c>
      <c r="F473" s="2" t="s">
        <v>13</v>
      </c>
      <c r="H473" s="2">
        <v>2011</v>
      </c>
      <c r="I473" s="2" t="s">
        <v>4213</v>
      </c>
      <c r="J473" s="2" t="s">
        <v>15</v>
      </c>
      <c r="K473" s="2" t="s">
        <v>4214</v>
      </c>
    </row>
    <row r="474" spans="1:11" x14ac:dyDescent="0.25">
      <c r="A474" s="2" t="s">
        <v>2822</v>
      </c>
      <c r="B474" s="2" t="str">
        <f>"V1402329336001"</f>
        <v>V1402329336001</v>
      </c>
      <c r="C474" s="2" t="s">
        <v>4215</v>
      </c>
      <c r="D474" s="2" t="s">
        <v>1577</v>
      </c>
      <c r="E474" s="2" t="s">
        <v>4163</v>
      </c>
      <c r="F474" s="2" t="s">
        <v>13</v>
      </c>
      <c r="H474" s="2">
        <v>2011</v>
      </c>
      <c r="I474" s="2" t="s">
        <v>4216</v>
      </c>
      <c r="J474" s="2" t="s">
        <v>15</v>
      </c>
      <c r="K474" s="2" t="s">
        <v>4217</v>
      </c>
    </row>
    <row r="475" spans="1:11" x14ac:dyDescent="0.25">
      <c r="A475" s="2" t="s">
        <v>2822</v>
      </c>
      <c r="B475" s="2" t="str">
        <f>"V1402329335001"</f>
        <v>V1402329335001</v>
      </c>
      <c r="C475" s="2" t="s">
        <v>4218</v>
      </c>
      <c r="D475" s="2" t="s">
        <v>1577</v>
      </c>
      <c r="E475" s="2" t="s">
        <v>4163</v>
      </c>
      <c r="F475" s="2" t="s">
        <v>13</v>
      </c>
      <c r="H475" s="2">
        <v>2011</v>
      </c>
      <c r="I475" s="2" t="s">
        <v>4219</v>
      </c>
      <c r="J475" s="2" t="s">
        <v>15</v>
      </c>
      <c r="K475" s="2" t="s">
        <v>4220</v>
      </c>
    </row>
    <row r="476" spans="1:11" x14ac:dyDescent="0.25">
      <c r="A476" s="2" t="s">
        <v>2822</v>
      </c>
      <c r="B476" s="2" t="str">
        <f>"V1402345869001"</f>
        <v>V1402345869001</v>
      </c>
      <c r="C476" s="2" t="s">
        <v>4221</v>
      </c>
      <c r="D476" s="2" t="s">
        <v>1577</v>
      </c>
      <c r="E476" s="2" t="s">
        <v>4163</v>
      </c>
      <c r="F476" s="2" t="s">
        <v>13</v>
      </c>
      <c r="H476" s="2">
        <v>2011</v>
      </c>
      <c r="I476" s="2" t="s">
        <v>4222</v>
      </c>
      <c r="J476" s="2" t="s">
        <v>15</v>
      </c>
      <c r="K476" s="2" t="s">
        <v>4223</v>
      </c>
    </row>
    <row r="477" spans="1:11" x14ac:dyDescent="0.25">
      <c r="A477" s="2" t="s">
        <v>2822</v>
      </c>
      <c r="B477" s="2" t="str">
        <f>"V1402329334001"</f>
        <v>V1402329334001</v>
      </c>
      <c r="C477" s="2" t="s">
        <v>4224</v>
      </c>
      <c r="D477" s="2" t="s">
        <v>1577</v>
      </c>
      <c r="E477" s="2" t="s">
        <v>4163</v>
      </c>
      <c r="F477" s="2" t="s">
        <v>13</v>
      </c>
      <c r="H477" s="2">
        <v>2011</v>
      </c>
      <c r="I477" s="2" t="s">
        <v>4225</v>
      </c>
      <c r="J477" s="2" t="s">
        <v>15</v>
      </c>
      <c r="K477" s="2" t="s">
        <v>4226</v>
      </c>
    </row>
    <row r="478" spans="1:11" x14ac:dyDescent="0.25">
      <c r="A478" s="2" t="s">
        <v>2822</v>
      </c>
      <c r="B478" s="2" t="str">
        <f>"V1402348992001"</f>
        <v>V1402348992001</v>
      </c>
      <c r="C478" s="2" t="s">
        <v>4227</v>
      </c>
      <c r="D478" s="2" t="s">
        <v>1577</v>
      </c>
      <c r="E478" s="2" t="s">
        <v>4163</v>
      </c>
      <c r="F478" s="2" t="s">
        <v>13</v>
      </c>
      <c r="H478" s="2">
        <v>2011</v>
      </c>
      <c r="I478" s="2" t="s">
        <v>4228</v>
      </c>
      <c r="J478" s="2" t="s">
        <v>15</v>
      </c>
      <c r="K478" s="2" t="s">
        <v>4229</v>
      </c>
    </row>
    <row r="479" spans="1:11" x14ac:dyDescent="0.25">
      <c r="A479" s="2" t="s">
        <v>2822</v>
      </c>
      <c r="B479" s="2" t="str">
        <f>"V1402345867001"</f>
        <v>V1402345867001</v>
      </c>
      <c r="C479" s="2" t="s">
        <v>4230</v>
      </c>
      <c r="D479" s="2" t="s">
        <v>1577</v>
      </c>
      <c r="E479" s="2" t="s">
        <v>4163</v>
      </c>
      <c r="F479" s="2" t="s">
        <v>13</v>
      </c>
      <c r="H479" s="2">
        <v>2011</v>
      </c>
      <c r="I479" s="2" t="s">
        <v>4231</v>
      </c>
      <c r="J479" s="2" t="s">
        <v>15</v>
      </c>
      <c r="K479" s="2" t="s">
        <v>4232</v>
      </c>
    </row>
    <row r="480" spans="1:11" x14ac:dyDescent="0.25">
      <c r="A480" s="2" t="s">
        <v>2822</v>
      </c>
      <c r="B480" s="2" t="str">
        <f>"V1402348991001"</f>
        <v>V1402348991001</v>
      </c>
      <c r="C480" s="2" t="s">
        <v>4233</v>
      </c>
      <c r="D480" s="2" t="s">
        <v>1577</v>
      </c>
      <c r="E480" s="2" t="s">
        <v>4163</v>
      </c>
      <c r="F480" s="2" t="s">
        <v>13</v>
      </c>
      <c r="H480" s="2">
        <v>2011</v>
      </c>
      <c r="I480" s="2" t="s">
        <v>4234</v>
      </c>
      <c r="J480" s="2" t="s">
        <v>15</v>
      </c>
      <c r="K480" s="2" t="s">
        <v>4235</v>
      </c>
    </row>
    <row r="481" spans="1:11" x14ac:dyDescent="0.25">
      <c r="A481" s="2" t="s">
        <v>2822</v>
      </c>
      <c r="B481" s="2" t="str">
        <f>"V1402345866001"</f>
        <v>V1402345866001</v>
      </c>
      <c r="C481" s="2" t="s">
        <v>4236</v>
      </c>
      <c r="D481" s="2" t="s">
        <v>1577</v>
      </c>
      <c r="E481" s="2" t="s">
        <v>4163</v>
      </c>
      <c r="F481" s="2" t="s">
        <v>13</v>
      </c>
      <c r="H481" s="2">
        <v>2011</v>
      </c>
      <c r="I481" s="2" t="s">
        <v>4237</v>
      </c>
      <c r="J481" s="2" t="s">
        <v>15</v>
      </c>
      <c r="K481" s="2" t="s">
        <v>4238</v>
      </c>
    </row>
    <row r="482" spans="1:11" x14ac:dyDescent="0.25">
      <c r="A482" s="2" t="s">
        <v>2822</v>
      </c>
      <c r="B482" s="2" t="str">
        <f>"V1402348990001"</f>
        <v>V1402348990001</v>
      </c>
      <c r="C482" s="2" t="s">
        <v>4239</v>
      </c>
      <c r="D482" s="2" t="s">
        <v>1577</v>
      </c>
      <c r="E482" s="2" t="s">
        <v>4163</v>
      </c>
      <c r="F482" s="2" t="s">
        <v>13</v>
      </c>
      <c r="H482" s="2">
        <v>2011</v>
      </c>
      <c r="I482" s="2" t="s">
        <v>4240</v>
      </c>
      <c r="J482" s="2" t="s">
        <v>15</v>
      </c>
      <c r="K482" s="2" t="s">
        <v>4241</v>
      </c>
    </row>
    <row r="483" spans="1:11" x14ac:dyDescent="0.25">
      <c r="A483" s="2" t="s">
        <v>2822</v>
      </c>
      <c r="B483" s="2" t="str">
        <f>"V1402345881001"</f>
        <v>V1402345881001</v>
      </c>
      <c r="C483" s="2" t="s">
        <v>4242</v>
      </c>
      <c r="D483" s="2" t="s">
        <v>1577</v>
      </c>
      <c r="E483" s="2" t="s">
        <v>4163</v>
      </c>
      <c r="F483" s="2" t="s">
        <v>13</v>
      </c>
      <c r="H483" s="2">
        <v>2011</v>
      </c>
      <c r="I483" s="2" t="s">
        <v>4243</v>
      </c>
      <c r="J483" s="2" t="s">
        <v>15</v>
      </c>
      <c r="K483" s="2" t="s">
        <v>4244</v>
      </c>
    </row>
    <row r="484" spans="1:11" x14ac:dyDescent="0.25">
      <c r="A484" s="2" t="s">
        <v>2822</v>
      </c>
      <c r="B484" s="2" t="str">
        <f>"V1402349001001"</f>
        <v>V1402349001001</v>
      </c>
      <c r="C484" s="2" t="s">
        <v>4245</v>
      </c>
      <c r="D484" s="2" t="s">
        <v>1577</v>
      </c>
      <c r="E484" s="2" t="s">
        <v>4163</v>
      </c>
      <c r="F484" s="2" t="s">
        <v>13</v>
      </c>
      <c r="H484" s="2">
        <v>2011</v>
      </c>
      <c r="I484" s="2" t="s">
        <v>4246</v>
      </c>
      <c r="J484" s="2" t="s">
        <v>15</v>
      </c>
      <c r="K484" s="2" t="s">
        <v>4247</v>
      </c>
    </row>
    <row r="485" spans="1:11" x14ac:dyDescent="0.25">
      <c r="A485" s="2" t="s">
        <v>2822</v>
      </c>
      <c r="B485" s="2" t="str">
        <f>"V1402329341001"</f>
        <v>V1402329341001</v>
      </c>
      <c r="C485" s="2" t="s">
        <v>4248</v>
      </c>
      <c r="D485" s="2" t="s">
        <v>1577</v>
      </c>
      <c r="E485" s="2" t="s">
        <v>4163</v>
      </c>
      <c r="F485" s="2" t="s">
        <v>13</v>
      </c>
      <c r="H485" s="2">
        <v>2011</v>
      </c>
      <c r="I485" s="2" t="s">
        <v>4249</v>
      </c>
      <c r="J485" s="2" t="s">
        <v>15</v>
      </c>
      <c r="K485" s="2" t="s">
        <v>4250</v>
      </c>
    </row>
    <row r="486" spans="1:11" x14ac:dyDescent="0.25">
      <c r="A486" s="2" t="s">
        <v>2822</v>
      </c>
      <c r="B486" s="2" t="str">
        <f>"V3637603939001"</f>
        <v>V3637603939001</v>
      </c>
      <c r="C486" s="2" t="s">
        <v>4251</v>
      </c>
      <c r="D486" s="2" t="s">
        <v>4252</v>
      </c>
      <c r="E486" s="2" t="s">
        <v>4163</v>
      </c>
      <c r="F486" s="2" t="s">
        <v>13</v>
      </c>
      <c r="H486" s="2">
        <v>2014</v>
      </c>
      <c r="I486" s="2" t="s">
        <v>2668</v>
      </c>
      <c r="J486" s="2" t="s">
        <v>15</v>
      </c>
      <c r="K486" s="2" t="s">
        <v>4253</v>
      </c>
    </row>
    <row r="487" spans="1:11" x14ac:dyDescent="0.25">
      <c r="A487" s="2" t="s">
        <v>2822</v>
      </c>
      <c r="B487" s="2" t="str">
        <f>"V3637603940001"</f>
        <v>V3637603940001</v>
      </c>
      <c r="C487" s="2" t="s">
        <v>4254</v>
      </c>
      <c r="D487" s="2" t="s">
        <v>4252</v>
      </c>
      <c r="E487" s="2" t="s">
        <v>4163</v>
      </c>
      <c r="F487" s="2" t="s">
        <v>13</v>
      </c>
      <c r="H487" s="2">
        <v>2014</v>
      </c>
      <c r="I487" s="2" t="s">
        <v>2668</v>
      </c>
      <c r="J487" s="2" t="s">
        <v>15</v>
      </c>
      <c r="K487" s="2" t="s">
        <v>4255</v>
      </c>
    </row>
    <row r="488" spans="1:11" x14ac:dyDescent="0.25">
      <c r="A488" s="2" t="s">
        <v>2822</v>
      </c>
      <c r="B488" s="2" t="str">
        <f>"V3637603941001"</f>
        <v>V3637603941001</v>
      </c>
      <c r="C488" s="2" t="s">
        <v>4256</v>
      </c>
      <c r="D488" s="2" t="s">
        <v>4252</v>
      </c>
      <c r="E488" s="2" t="s">
        <v>4163</v>
      </c>
      <c r="F488" s="2" t="s">
        <v>13</v>
      </c>
      <c r="H488" s="2">
        <v>2014</v>
      </c>
      <c r="I488" s="2" t="s">
        <v>4257</v>
      </c>
      <c r="J488" s="2" t="s">
        <v>15</v>
      </c>
      <c r="K488" s="2" t="s">
        <v>4258</v>
      </c>
    </row>
    <row r="489" spans="1:11" x14ac:dyDescent="0.25">
      <c r="A489" s="2" t="s">
        <v>2822</v>
      </c>
      <c r="B489" s="2" t="str">
        <f>"V3637603942001"</f>
        <v>V3637603942001</v>
      </c>
      <c r="C489" s="2" t="s">
        <v>4259</v>
      </c>
      <c r="D489" s="2" t="s">
        <v>4252</v>
      </c>
      <c r="E489" s="2" t="s">
        <v>4163</v>
      </c>
      <c r="F489" s="2" t="s">
        <v>13</v>
      </c>
      <c r="H489" s="2">
        <v>2014</v>
      </c>
      <c r="I489" s="2" t="s">
        <v>4260</v>
      </c>
      <c r="J489" s="2" t="s">
        <v>15</v>
      </c>
      <c r="K489" s="2" t="s">
        <v>4261</v>
      </c>
    </row>
    <row r="490" spans="1:11" x14ac:dyDescent="0.25">
      <c r="A490" s="2" t="s">
        <v>2822</v>
      </c>
      <c r="B490" s="2" t="str">
        <f>"V3637603943001"</f>
        <v>V3637603943001</v>
      </c>
      <c r="C490" s="2" t="s">
        <v>4262</v>
      </c>
      <c r="D490" s="2" t="s">
        <v>4252</v>
      </c>
      <c r="E490" s="2" t="s">
        <v>4163</v>
      </c>
      <c r="F490" s="2" t="s">
        <v>13</v>
      </c>
      <c r="H490" s="2">
        <v>2014</v>
      </c>
      <c r="I490" s="2" t="s">
        <v>4263</v>
      </c>
      <c r="J490" s="2" t="s">
        <v>15</v>
      </c>
      <c r="K490" s="2" t="s">
        <v>4264</v>
      </c>
    </row>
    <row r="491" spans="1:11" x14ac:dyDescent="0.25">
      <c r="A491" s="2" t="s">
        <v>2822</v>
      </c>
      <c r="B491" s="2" t="str">
        <f>"V3637603944001"</f>
        <v>V3637603944001</v>
      </c>
      <c r="C491" s="2" t="s">
        <v>4265</v>
      </c>
      <c r="D491" s="2" t="s">
        <v>4252</v>
      </c>
      <c r="E491" s="2" t="s">
        <v>4163</v>
      </c>
      <c r="F491" s="2" t="s">
        <v>13</v>
      </c>
      <c r="H491" s="2">
        <v>2014</v>
      </c>
      <c r="I491" s="2" t="s">
        <v>4266</v>
      </c>
      <c r="J491" s="2" t="s">
        <v>15</v>
      </c>
      <c r="K491" s="2" t="s">
        <v>4267</v>
      </c>
    </row>
    <row r="492" spans="1:11" x14ac:dyDescent="0.25">
      <c r="A492" s="2" t="s">
        <v>2822</v>
      </c>
      <c r="B492" s="2" t="str">
        <f>"V3637603945001"</f>
        <v>V3637603945001</v>
      </c>
      <c r="C492" s="2" t="s">
        <v>4268</v>
      </c>
      <c r="D492" s="2" t="s">
        <v>4252</v>
      </c>
      <c r="E492" s="2" t="s">
        <v>4163</v>
      </c>
      <c r="F492" s="2" t="s">
        <v>13</v>
      </c>
      <c r="H492" s="2">
        <v>2014</v>
      </c>
      <c r="I492" s="2" t="s">
        <v>4269</v>
      </c>
      <c r="J492" s="2" t="s">
        <v>15</v>
      </c>
      <c r="K492" s="2" t="s">
        <v>4270</v>
      </c>
    </row>
    <row r="493" spans="1:11" x14ac:dyDescent="0.25">
      <c r="A493" s="2" t="s">
        <v>2822</v>
      </c>
      <c r="B493" s="2" t="str">
        <f>"V3637603946001"</f>
        <v>V3637603946001</v>
      </c>
      <c r="C493" s="2" t="s">
        <v>4271</v>
      </c>
      <c r="D493" s="2" t="s">
        <v>4252</v>
      </c>
      <c r="E493" s="2" t="s">
        <v>4163</v>
      </c>
      <c r="F493" s="2" t="s">
        <v>13</v>
      </c>
      <c r="H493" s="2">
        <v>2014</v>
      </c>
      <c r="I493" s="2" t="s">
        <v>4272</v>
      </c>
      <c r="J493" s="2" t="s">
        <v>15</v>
      </c>
      <c r="K493" s="2" t="s">
        <v>4273</v>
      </c>
    </row>
    <row r="494" spans="1:11" x14ac:dyDescent="0.25">
      <c r="A494" s="2" t="s">
        <v>2822</v>
      </c>
      <c r="B494" s="2" t="str">
        <f>"V3637603947001"</f>
        <v>V3637603947001</v>
      </c>
      <c r="C494" s="2" t="s">
        <v>4274</v>
      </c>
      <c r="D494" s="2" t="s">
        <v>4252</v>
      </c>
      <c r="E494" s="2" t="s">
        <v>4163</v>
      </c>
      <c r="F494" s="2" t="s">
        <v>13</v>
      </c>
      <c r="H494" s="2">
        <v>2014</v>
      </c>
      <c r="I494" s="2" t="s">
        <v>4275</v>
      </c>
      <c r="J494" s="2" t="s">
        <v>15</v>
      </c>
      <c r="K494" s="2" t="s">
        <v>4276</v>
      </c>
    </row>
    <row r="495" spans="1:11" x14ac:dyDescent="0.25">
      <c r="A495" s="2" t="s">
        <v>2822</v>
      </c>
      <c r="B495" s="2" t="str">
        <f>"V3637603948001"</f>
        <v>V3637603948001</v>
      </c>
      <c r="C495" s="2" t="s">
        <v>4277</v>
      </c>
      <c r="D495" s="2" t="s">
        <v>4252</v>
      </c>
      <c r="E495" s="2" t="s">
        <v>4163</v>
      </c>
      <c r="F495" s="2" t="s">
        <v>13</v>
      </c>
      <c r="H495" s="2">
        <v>2014</v>
      </c>
      <c r="I495" s="2" t="s">
        <v>2668</v>
      </c>
      <c r="J495" s="2" t="s">
        <v>15</v>
      </c>
      <c r="K495" s="2" t="s">
        <v>4278</v>
      </c>
    </row>
    <row r="496" spans="1:11" x14ac:dyDescent="0.25">
      <c r="A496" s="2" t="s">
        <v>2822</v>
      </c>
      <c r="B496" s="2" t="str">
        <f>"V3637603932001"</f>
        <v>V3637603932001</v>
      </c>
      <c r="C496" s="2" t="s">
        <v>4279</v>
      </c>
      <c r="D496" s="2" t="s">
        <v>4252</v>
      </c>
      <c r="E496" s="2" t="s">
        <v>4163</v>
      </c>
      <c r="F496" s="2" t="s">
        <v>13</v>
      </c>
      <c r="H496" s="2">
        <v>2014</v>
      </c>
      <c r="I496" s="2" t="s">
        <v>4280</v>
      </c>
      <c r="J496" s="2" t="s">
        <v>15</v>
      </c>
      <c r="K496" s="2" t="s">
        <v>4281</v>
      </c>
    </row>
    <row r="497" spans="1:11" x14ac:dyDescent="0.25">
      <c r="A497" s="2" t="s">
        <v>2822</v>
      </c>
      <c r="B497" s="2" t="str">
        <f>"V3637603949001"</f>
        <v>V3637603949001</v>
      </c>
      <c r="C497" s="2" t="s">
        <v>4282</v>
      </c>
      <c r="D497" s="2" t="s">
        <v>4252</v>
      </c>
      <c r="E497" s="2" t="s">
        <v>4163</v>
      </c>
      <c r="F497" s="2" t="s">
        <v>13</v>
      </c>
      <c r="H497" s="2">
        <v>2014</v>
      </c>
      <c r="I497" s="2" t="s">
        <v>4283</v>
      </c>
      <c r="J497" s="2" t="s">
        <v>15</v>
      </c>
      <c r="K497" s="2" t="s">
        <v>4284</v>
      </c>
    </row>
    <row r="498" spans="1:11" x14ac:dyDescent="0.25">
      <c r="A498" s="2" t="s">
        <v>2822</v>
      </c>
      <c r="B498" s="2" t="str">
        <f>"V3637603950001"</f>
        <v>V3637603950001</v>
      </c>
      <c r="C498" s="2" t="s">
        <v>4285</v>
      </c>
      <c r="D498" s="2" t="s">
        <v>4252</v>
      </c>
      <c r="E498" s="2" t="s">
        <v>4163</v>
      </c>
      <c r="F498" s="2" t="s">
        <v>13</v>
      </c>
      <c r="H498" s="2">
        <v>2014</v>
      </c>
      <c r="I498" s="2" t="s">
        <v>4286</v>
      </c>
      <c r="J498" s="2" t="s">
        <v>15</v>
      </c>
      <c r="K498" s="2" t="s">
        <v>4287</v>
      </c>
    </row>
    <row r="499" spans="1:11" x14ac:dyDescent="0.25">
      <c r="A499" s="2" t="s">
        <v>2822</v>
      </c>
      <c r="B499" s="2" t="str">
        <f>"V3637603951001"</f>
        <v>V3637603951001</v>
      </c>
      <c r="C499" s="2" t="s">
        <v>4288</v>
      </c>
      <c r="D499" s="2" t="s">
        <v>4252</v>
      </c>
      <c r="E499" s="2" t="s">
        <v>4163</v>
      </c>
      <c r="F499" s="2" t="s">
        <v>13</v>
      </c>
      <c r="H499" s="2">
        <v>2014</v>
      </c>
      <c r="I499" s="2" t="s">
        <v>4289</v>
      </c>
      <c r="J499" s="2" t="s">
        <v>15</v>
      </c>
      <c r="K499" s="2" t="s">
        <v>4290</v>
      </c>
    </row>
    <row r="500" spans="1:11" x14ac:dyDescent="0.25">
      <c r="A500" s="2" t="s">
        <v>2822</v>
      </c>
      <c r="B500" s="2" t="str">
        <f>"V3637603952001"</f>
        <v>V3637603952001</v>
      </c>
      <c r="C500" s="2" t="s">
        <v>4291</v>
      </c>
      <c r="D500" s="2" t="s">
        <v>4252</v>
      </c>
      <c r="E500" s="2" t="s">
        <v>4163</v>
      </c>
      <c r="F500" s="2" t="s">
        <v>13</v>
      </c>
      <c r="H500" s="2">
        <v>2014</v>
      </c>
      <c r="I500" s="2" t="s">
        <v>2668</v>
      </c>
      <c r="J500" s="2" t="s">
        <v>15</v>
      </c>
      <c r="K500" s="2" t="s">
        <v>4292</v>
      </c>
    </row>
    <row r="501" spans="1:11" x14ac:dyDescent="0.25">
      <c r="A501" s="2" t="s">
        <v>2822</v>
      </c>
      <c r="B501" s="2" t="str">
        <f>"V3637603953001"</f>
        <v>V3637603953001</v>
      </c>
      <c r="C501" s="2" t="s">
        <v>4293</v>
      </c>
      <c r="D501" s="2" t="s">
        <v>4252</v>
      </c>
      <c r="E501" s="2" t="s">
        <v>4163</v>
      </c>
      <c r="F501" s="2" t="s">
        <v>13</v>
      </c>
      <c r="H501" s="2">
        <v>2014</v>
      </c>
      <c r="I501" s="2" t="s">
        <v>4294</v>
      </c>
      <c r="J501" s="2" t="s">
        <v>15</v>
      </c>
      <c r="K501" s="2" t="s">
        <v>4295</v>
      </c>
    </row>
    <row r="502" spans="1:11" x14ac:dyDescent="0.25">
      <c r="A502" s="2" t="s">
        <v>2822</v>
      </c>
      <c r="B502" s="2" t="str">
        <f>"V3637603954001"</f>
        <v>V3637603954001</v>
      </c>
      <c r="C502" s="2" t="s">
        <v>4296</v>
      </c>
      <c r="D502" s="2" t="s">
        <v>4252</v>
      </c>
      <c r="E502" s="2" t="s">
        <v>4163</v>
      </c>
      <c r="F502" s="2" t="s">
        <v>13</v>
      </c>
      <c r="H502" s="2">
        <v>2014</v>
      </c>
      <c r="I502" s="2" t="s">
        <v>4297</v>
      </c>
      <c r="J502" s="2" t="s">
        <v>15</v>
      </c>
      <c r="K502" s="2" t="s">
        <v>4298</v>
      </c>
    </row>
    <row r="503" spans="1:11" x14ac:dyDescent="0.25">
      <c r="A503" s="2" t="s">
        <v>2822</v>
      </c>
      <c r="B503" s="2" t="str">
        <f>"V3637603955001"</f>
        <v>V3637603955001</v>
      </c>
      <c r="C503" s="2" t="s">
        <v>4299</v>
      </c>
      <c r="D503" s="2" t="s">
        <v>4252</v>
      </c>
      <c r="E503" s="2" t="s">
        <v>4163</v>
      </c>
      <c r="F503" s="2" t="s">
        <v>13</v>
      </c>
      <c r="H503" s="2">
        <v>2014</v>
      </c>
      <c r="I503" s="2" t="s">
        <v>4300</v>
      </c>
      <c r="J503" s="2" t="s">
        <v>15</v>
      </c>
      <c r="K503" s="2" t="s">
        <v>4301</v>
      </c>
    </row>
    <row r="504" spans="1:11" x14ac:dyDescent="0.25">
      <c r="A504" s="2" t="s">
        <v>2822</v>
      </c>
      <c r="B504" s="2" t="str">
        <f>"V3637603956001"</f>
        <v>V3637603956001</v>
      </c>
      <c r="C504" s="2" t="s">
        <v>4302</v>
      </c>
      <c r="D504" s="2" t="s">
        <v>4252</v>
      </c>
      <c r="E504" s="2" t="s">
        <v>4163</v>
      </c>
      <c r="F504" s="2" t="s">
        <v>13</v>
      </c>
      <c r="H504" s="2">
        <v>2014</v>
      </c>
      <c r="I504" s="2" t="s">
        <v>4303</v>
      </c>
      <c r="J504" s="2" t="s">
        <v>15</v>
      </c>
      <c r="K504" s="2" t="s">
        <v>4304</v>
      </c>
    </row>
    <row r="505" spans="1:11" x14ac:dyDescent="0.25">
      <c r="A505" s="2" t="s">
        <v>2822</v>
      </c>
      <c r="B505" s="2" t="str">
        <f>"V3637603957001"</f>
        <v>V3637603957001</v>
      </c>
      <c r="C505" s="2" t="s">
        <v>4305</v>
      </c>
      <c r="D505" s="2" t="s">
        <v>4252</v>
      </c>
      <c r="E505" s="2" t="s">
        <v>4163</v>
      </c>
      <c r="F505" s="2" t="s">
        <v>13</v>
      </c>
      <c r="H505" s="2">
        <v>2014</v>
      </c>
      <c r="I505" s="2" t="s">
        <v>4306</v>
      </c>
      <c r="J505" s="2" t="s">
        <v>15</v>
      </c>
      <c r="K505" s="2" t="s">
        <v>4307</v>
      </c>
    </row>
    <row r="506" spans="1:11" x14ac:dyDescent="0.25">
      <c r="A506" s="2" t="s">
        <v>2822</v>
      </c>
      <c r="B506" s="2" t="str">
        <f>"V3637603958001"</f>
        <v>V3637603958001</v>
      </c>
      <c r="C506" s="2" t="s">
        <v>4308</v>
      </c>
      <c r="D506" s="2" t="s">
        <v>4252</v>
      </c>
      <c r="E506" s="2" t="s">
        <v>4163</v>
      </c>
      <c r="F506" s="2" t="s">
        <v>13</v>
      </c>
      <c r="H506" s="2">
        <v>2014</v>
      </c>
      <c r="I506" s="2" t="s">
        <v>4309</v>
      </c>
      <c r="J506" s="2" t="s">
        <v>15</v>
      </c>
      <c r="K506" s="2" t="s">
        <v>4310</v>
      </c>
    </row>
    <row r="507" spans="1:11" x14ac:dyDescent="0.25">
      <c r="A507" s="2" t="s">
        <v>2822</v>
      </c>
      <c r="B507" s="2" t="str">
        <f>"V3637603959001"</f>
        <v>V3637603959001</v>
      </c>
      <c r="C507" s="2" t="s">
        <v>4311</v>
      </c>
      <c r="D507" s="2" t="s">
        <v>4252</v>
      </c>
      <c r="E507" s="2" t="s">
        <v>4163</v>
      </c>
      <c r="F507" s="2" t="s">
        <v>13</v>
      </c>
      <c r="H507" s="2">
        <v>2014</v>
      </c>
      <c r="I507" s="2" t="s">
        <v>2668</v>
      </c>
      <c r="J507" s="2" t="s">
        <v>15</v>
      </c>
      <c r="K507" s="2" t="s">
        <v>4312</v>
      </c>
    </row>
    <row r="508" spans="1:11" x14ac:dyDescent="0.25">
      <c r="A508" s="2" t="s">
        <v>2822</v>
      </c>
      <c r="B508" s="2" t="str">
        <f>"V3637603960001"</f>
        <v>V3637603960001</v>
      </c>
      <c r="C508" s="2" t="s">
        <v>4313</v>
      </c>
      <c r="D508" s="2" t="s">
        <v>4252</v>
      </c>
      <c r="E508" s="2" t="s">
        <v>4163</v>
      </c>
      <c r="F508" s="2" t="s">
        <v>13</v>
      </c>
      <c r="H508" s="2">
        <v>2014</v>
      </c>
      <c r="I508" s="2" t="s">
        <v>2668</v>
      </c>
      <c r="J508" s="2" t="s">
        <v>15</v>
      </c>
      <c r="K508" s="2" t="s">
        <v>4314</v>
      </c>
    </row>
    <row r="509" spans="1:11" x14ac:dyDescent="0.25">
      <c r="A509" s="2" t="s">
        <v>2822</v>
      </c>
      <c r="B509" s="2" t="str">
        <f>"V3637603961001"</f>
        <v>V3637603961001</v>
      </c>
      <c r="C509" s="2" t="s">
        <v>4315</v>
      </c>
      <c r="D509" s="2" t="s">
        <v>4252</v>
      </c>
      <c r="E509" s="2" t="s">
        <v>4163</v>
      </c>
      <c r="F509" s="2" t="s">
        <v>13</v>
      </c>
      <c r="H509" s="2">
        <v>2014</v>
      </c>
      <c r="I509" s="2" t="s">
        <v>4316</v>
      </c>
      <c r="J509" s="2" t="s">
        <v>15</v>
      </c>
      <c r="K509" s="2" t="s">
        <v>4317</v>
      </c>
    </row>
    <row r="510" spans="1:11" x14ac:dyDescent="0.25">
      <c r="A510" s="2" t="s">
        <v>2822</v>
      </c>
      <c r="B510" s="2" t="str">
        <f>"V3637603933001"</f>
        <v>V3637603933001</v>
      </c>
      <c r="C510" s="2" t="s">
        <v>4318</v>
      </c>
      <c r="D510" s="2" t="s">
        <v>4252</v>
      </c>
      <c r="E510" s="2" t="s">
        <v>4163</v>
      </c>
      <c r="F510" s="2" t="s">
        <v>13</v>
      </c>
      <c r="H510" s="2">
        <v>2014</v>
      </c>
      <c r="I510" s="2" t="s">
        <v>4319</v>
      </c>
      <c r="J510" s="2" t="s">
        <v>15</v>
      </c>
      <c r="K510" s="2" t="s">
        <v>4320</v>
      </c>
    </row>
    <row r="511" spans="1:11" x14ac:dyDescent="0.25">
      <c r="A511" s="2" t="s">
        <v>2822</v>
      </c>
      <c r="B511" s="2" t="str">
        <f>"V3637603934001"</f>
        <v>V3637603934001</v>
      </c>
      <c r="C511" s="2" t="s">
        <v>4321</v>
      </c>
      <c r="D511" s="2" t="s">
        <v>4252</v>
      </c>
      <c r="E511" s="2" t="s">
        <v>4163</v>
      </c>
      <c r="F511" s="2" t="s">
        <v>13</v>
      </c>
      <c r="H511" s="2">
        <v>2014</v>
      </c>
      <c r="I511" s="2" t="s">
        <v>4322</v>
      </c>
      <c r="J511" s="2" t="s">
        <v>15</v>
      </c>
      <c r="K511" s="2" t="s">
        <v>4323</v>
      </c>
    </row>
    <row r="512" spans="1:11" x14ac:dyDescent="0.25">
      <c r="A512" s="2" t="s">
        <v>2822</v>
      </c>
      <c r="B512" s="2" t="str">
        <f>"V3637603935001"</f>
        <v>V3637603935001</v>
      </c>
      <c r="C512" s="2" t="s">
        <v>4324</v>
      </c>
      <c r="D512" s="2" t="s">
        <v>4252</v>
      </c>
      <c r="E512" s="2" t="s">
        <v>4163</v>
      </c>
      <c r="F512" s="2" t="s">
        <v>13</v>
      </c>
      <c r="H512" s="2">
        <v>2014</v>
      </c>
      <c r="I512" s="2" t="s">
        <v>4257</v>
      </c>
      <c r="J512" s="2" t="s">
        <v>15</v>
      </c>
      <c r="K512" s="2" t="s">
        <v>4325</v>
      </c>
    </row>
    <row r="513" spans="1:11" x14ac:dyDescent="0.25">
      <c r="A513" s="2" t="s">
        <v>2822</v>
      </c>
      <c r="B513" s="2" t="str">
        <f>"V3637603936001"</f>
        <v>V3637603936001</v>
      </c>
      <c r="C513" s="2" t="s">
        <v>4326</v>
      </c>
      <c r="D513" s="2" t="s">
        <v>4252</v>
      </c>
      <c r="E513" s="2" t="s">
        <v>4163</v>
      </c>
      <c r="F513" s="2" t="s">
        <v>13</v>
      </c>
      <c r="H513" s="2">
        <v>2014</v>
      </c>
      <c r="I513" s="2" t="s">
        <v>4257</v>
      </c>
      <c r="J513" s="2" t="s">
        <v>15</v>
      </c>
      <c r="K513" s="2" t="s">
        <v>4327</v>
      </c>
    </row>
    <row r="514" spans="1:11" x14ac:dyDescent="0.25">
      <c r="A514" s="2" t="s">
        <v>2822</v>
      </c>
      <c r="B514" s="2" t="str">
        <f>"V3637603937001"</f>
        <v>V3637603937001</v>
      </c>
      <c r="C514" s="2" t="s">
        <v>4328</v>
      </c>
      <c r="D514" s="2" t="s">
        <v>4252</v>
      </c>
      <c r="E514" s="2" t="s">
        <v>4163</v>
      </c>
      <c r="F514" s="2" t="s">
        <v>13</v>
      </c>
      <c r="H514" s="2">
        <v>2014</v>
      </c>
      <c r="I514" s="2" t="s">
        <v>2668</v>
      </c>
      <c r="J514" s="2" t="s">
        <v>15</v>
      </c>
      <c r="K514" s="2" t="s">
        <v>4329</v>
      </c>
    </row>
    <row r="515" spans="1:11" x14ac:dyDescent="0.25">
      <c r="A515" s="2" t="s">
        <v>2822</v>
      </c>
      <c r="B515" s="2" t="str">
        <f>"V3637603938001"</f>
        <v>V3637603938001</v>
      </c>
      <c r="C515" s="2" t="s">
        <v>4330</v>
      </c>
      <c r="D515" s="2" t="s">
        <v>4252</v>
      </c>
      <c r="E515" s="2" t="s">
        <v>4163</v>
      </c>
      <c r="F515" s="2" t="s">
        <v>13</v>
      </c>
      <c r="H515" s="2">
        <v>2014</v>
      </c>
      <c r="I515" s="2" t="s">
        <v>4331</v>
      </c>
      <c r="J515" s="2" t="s">
        <v>15</v>
      </c>
      <c r="K515" s="2" t="s">
        <v>4332</v>
      </c>
    </row>
    <row r="516" spans="1:11" x14ac:dyDescent="0.25">
      <c r="A516" s="2" t="s">
        <v>2822</v>
      </c>
      <c r="B516" s="2" t="str">
        <f>"V3615733088001"</f>
        <v>V3615733088001</v>
      </c>
      <c r="C516" s="2" t="s">
        <v>4333</v>
      </c>
      <c r="D516" s="2" t="s">
        <v>1900</v>
      </c>
      <c r="E516" s="2" t="s">
        <v>4163</v>
      </c>
      <c r="F516" s="2" t="s">
        <v>13</v>
      </c>
      <c r="H516" s="2">
        <v>2013</v>
      </c>
      <c r="I516" s="2" t="s">
        <v>4334</v>
      </c>
      <c r="J516" s="2" t="s">
        <v>15</v>
      </c>
      <c r="K516" s="2" t="s">
        <v>4335</v>
      </c>
    </row>
    <row r="517" spans="1:11" x14ac:dyDescent="0.25">
      <c r="A517" s="2" t="s">
        <v>2822</v>
      </c>
      <c r="B517" s="2" t="str">
        <f>"V3615733089001"</f>
        <v>V3615733089001</v>
      </c>
      <c r="C517" s="2" t="s">
        <v>4336</v>
      </c>
      <c r="D517" s="2" t="s">
        <v>1900</v>
      </c>
      <c r="E517" s="2" t="s">
        <v>4163</v>
      </c>
      <c r="F517" s="2" t="s">
        <v>13</v>
      </c>
      <c r="H517" s="2">
        <v>2013</v>
      </c>
      <c r="I517" s="2" t="s">
        <v>4337</v>
      </c>
      <c r="J517" s="2" t="s">
        <v>15</v>
      </c>
      <c r="K517" s="2" t="s">
        <v>4338</v>
      </c>
    </row>
    <row r="518" spans="1:11" x14ac:dyDescent="0.25">
      <c r="A518" s="2" t="s">
        <v>2822</v>
      </c>
      <c r="B518" s="2" t="str">
        <f>"V3615733090001"</f>
        <v>V3615733090001</v>
      </c>
      <c r="C518" s="2" t="s">
        <v>4339</v>
      </c>
      <c r="D518" s="2" t="s">
        <v>1900</v>
      </c>
      <c r="E518" s="2" t="s">
        <v>4163</v>
      </c>
      <c r="F518" s="2" t="s">
        <v>13</v>
      </c>
      <c r="H518" s="2">
        <v>2013</v>
      </c>
      <c r="I518" s="2" t="s">
        <v>4340</v>
      </c>
      <c r="J518" s="2" t="s">
        <v>15</v>
      </c>
      <c r="K518" s="2" t="s">
        <v>4341</v>
      </c>
    </row>
    <row r="519" spans="1:11" x14ac:dyDescent="0.25">
      <c r="A519" s="2" t="s">
        <v>2822</v>
      </c>
      <c r="B519" s="2" t="str">
        <f>"V3615733091001"</f>
        <v>V3615733091001</v>
      </c>
      <c r="C519" s="2" t="s">
        <v>4342</v>
      </c>
      <c r="D519" s="2" t="s">
        <v>1900</v>
      </c>
      <c r="E519" s="2" t="s">
        <v>4163</v>
      </c>
      <c r="F519" s="2" t="s">
        <v>13</v>
      </c>
      <c r="H519" s="2">
        <v>2013</v>
      </c>
      <c r="I519" s="2" t="s">
        <v>4343</v>
      </c>
      <c r="J519" s="2" t="s">
        <v>15</v>
      </c>
      <c r="K519" s="2" t="s">
        <v>4344</v>
      </c>
    </row>
    <row r="520" spans="1:11" x14ac:dyDescent="0.25">
      <c r="A520" s="2" t="s">
        <v>2822</v>
      </c>
      <c r="B520" s="2" t="str">
        <f>"V3615733092001"</f>
        <v>V3615733092001</v>
      </c>
      <c r="C520" s="2" t="s">
        <v>4345</v>
      </c>
      <c r="D520" s="2" t="s">
        <v>1900</v>
      </c>
      <c r="E520" s="2" t="s">
        <v>4163</v>
      </c>
      <c r="F520" s="2" t="s">
        <v>13</v>
      </c>
      <c r="H520" s="2">
        <v>2013</v>
      </c>
      <c r="I520" s="2" t="s">
        <v>4346</v>
      </c>
      <c r="J520" s="2" t="s">
        <v>15</v>
      </c>
      <c r="K520" s="2" t="s">
        <v>4347</v>
      </c>
    </row>
    <row r="521" spans="1:11" x14ac:dyDescent="0.25">
      <c r="A521" s="2" t="s">
        <v>2822</v>
      </c>
      <c r="B521" s="2" t="str">
        <f>"V3615733093001"</f>
        <v>V3615733093001</v>
      </c>
      <c r="C521" s="2" t="s">
        <v>4348</v>
      </c>
      <c r="D521" s="2" t="s">
        <v>1900</v>
      </c>
      <c r="E521" s="2" t="s">
        <v>4163</v>
      </c>
      <c r="F521" s="2" t="s">
        <v>13</v>
      </c>
      <c r="H521" s="2">
        <v>2013</v>
      </c>
      <c r="I521" s="2" t="s">
        <v>4349</v>
      </c>
      <c r="J521" s="2" t="s">
        <v>15</v>
      </c>
      <c r="K521" s="2" t="s">
        <v>4350</v>
      </c>
    </row>
    <row r="522" spans="1:11" x14ac:dyDescent="0.25">
      <c r="A522" s="2" t="s">
        <v>2822</v>
      </c>
      <c r="B522" s="2" t="str">
        <f>"V3615733094001"</f>
        <v>V3615733094001</v>
      </c>
      <c r="C522" s="2" t="s">
        <v>4351</v>
      </c>
      <c r="D522" s="2" t="s">
        <v>1900</v>
      </c>
      <c r="E522" s="2" t="s">
        <v>4163</v>
      </c>
      <c r="F522" s="2" t="s">
        <v>13</v>
      </c>
      <c r="H522" s="2">
        <v>2013</v>
      </c>
      <c r="I522" s="2" t="s">
        <v>4352</v>
      </c>
      <c r="J522" s="2" t="s">
        <v>15</v>
      </c>
      <c r="K522" s="2" t="s">
        <v>4353</v>
      </c>
    </row>
    <row r="523" spans="1:11" x14ac:dyDescent="0.25">
      <c r="A523" s="2" t="s">
        <v>2822</v>
      </c>
      <c r="B523" s="2" t="str">
        <f>"V3615733095001"</f>
        <v>V3615733095001</v>
      </c>
      <c r="C523" s="2" t="s">
        <v>4354</v>
      </c>
      <c r="D523" s="2" t="s">
        <v>1900</v>
      </c>
      <c r="E523" s="2" t="s">
        <v>4163</v>
      </c>
      <c r="F523" s="2" t="s">
        <v>13</v>
      </c>
      <c r="H523" s="2">
        <v>2013</v>
      </c>
      <c r="I523" s="2" t="s">
        <v>4355</v>
      </c>
      <c r="J523" s="2" t="s">
        <v>15</v>
      </c>
      <c r="K523" s="2" t="s">
        <v>4356</v>
      </c>
    </row>
    <row r="524" spans="1:11" x14ac:dyDescent="0.25">
      <c r="A524" s="2" t="s">
        <v>2822</v>
      </c>
      <c r="B524" s="2" t="str">
        <f>"V3615733096001"</f>
        <v>V3615733096001</v>
      </c>
      <c r="C524" s="2" t="s">
        <v>4357</v>
      </c>
      <c r="D524" s="2" t="s">
        <v>1900</v>
      </c>
      <c r="E524" s="2" t="s">
        <v>4163</v>
      </c>
      <c r="F524" s="2" t="s">
        <v>13</v>
      </c>
      <c r="H524" s="2">
        <v>2013</v>
      </c>
      <c r="I524" s="2" t="s">
        <v>4358</v>
      </c>
      <c r="J524" s="2" t="s">
        <v>15</v>
      </c>
      <c r="K524" s="2" t="s">
        <v>4359</v>
      </c>
    </row>
    <row r="525" spans="1:11" x14ac:dyDescent="0.25">
      <c r="A525" s="2" t="s">
        <v>2822</v>
      </c>
      <c r="B525" s="2" t="str">
        <f>"V3615733077001"</f>
        <v>V3615733077001</v>
      </c>
      <c r="C525" s="2" t="s">
        <v>4360</v>
      </c>
      <c r="D525" s="2" t="s">
        <v>1900</v>
      </c>
      <c r="E525" s="2" t="s">
        <v>4163</v>
      </c>
      <c r="F525" s="2" t="s">
        <v>13</v>
      </c>
      <c r="H525" s="2">
        <v>2013</v>
      </c>
      <c r="I525" s="2" t="s">
        <v>4361</v>
      </c>
      <c r="J525" s="2" t="s">
        <v>15</v>
      </c>
      <c r="K525" s="2" t="s">
        <v>4362</v>
      </c>
    </row>
    <row r="526" spans="1:11" x14ac:dyDescent="0.25">
      <c r="A526" s="2" t="s">
        <v>2822</v>
      </c>
      <c r="B526" s="2" t="str">
        <f>"V3615733078001"</f>
        <v>V3615733078001</v>
      </c>
      <c r="C526" s="2" t="s">
        <v>4363</v>
      </c>
      <c r="D526" s="2" t="s">
        <v>1900</v>
      </c>
      <c r="E526" s="2" t="s">
        <v>4163</v>
      </c>
      <c r="F526" s="2" t="s">
        <v>13</v>
      </c>
      <c r="H526" s="2">
        <v>2013</v>
      </c>
      <c r="I526" s="2" t="s">
        <v>4364</v>
      </c>
      <c r="J526" s="2" t="s">
        <v>15</v>
      </c>
      <c r="K526" s="2" t="s">
        <v>4365</v>
      </c>
    </row>
    <row r="527" spans="1:11" x14ac:dyDescent="0.25">
      <c r="A527" s="2" t="s">
        <v>2822</v>
      </c>
      <c r="B527" s="2" t="str">
        <f>"V3615733079001"</f>
        <v>V3615733079001</v>
      </c>
      <c r="C527" s="2" t="s">
        <v>4366</v>
      </c>
      <c r="D527" s="2" t="s">
        <v>1900</v>
      </c>
      <c r="E527" s="2" t="s">
        <v>4163</v>
      </c>
      <c r="F527" s="2" t="s">
        <v>13</v>
      </c>
      <c r="H527" s="2">
        <v>2013</v>
      </c>
      <c r="I527" s="2" t="s">
        <v>4367</v>
      </c>
      <c r="J527" s="2" t="s">
        <v>15</v>
      </c>
      <c r="K527" s="2" t="s">
        <v>4368</v>
      </c>
    </row>
    <row r="528" spans="1:11" x14ac:dyDescent="0.25">
      <c r="A528" s="2" t="s">
        <v>2822</v>
      </c>
      <c r="B528" s="2" t="str">
        <f>"V3615733080001"</f>
        <v>V3615733080001</v>
      </c>
      <c r="C528" s="2" t="s">
        <v>4369</v>
      </c>
      <c r="D528" s="2" t="s">
        <v>1900</v>
      </c>
      <c r="E528" s="2" t="s">
        <v>4163</v>
      </c>
      <c r="F528" s="2" t="s">
        <v>13</v>
      </c>
      <c r="H528" s="2">
        <v>2013</v>
      </c>
      <c r="I528" s="2" t="s">
        <v>4370</v>
      </c>
      <c r="J528" s="2" t="s">
        <v>15</v>
      </c>
      <c r="K528" s="2" t="s">
        <v>4371</v>
      </c>
    </row>
    <row r="529" spans="1:11" x14ac:dyDescent="0.25">
      <c r="A529" s="2" t="s">
        <v>2822</v>
      </c>
      <c r="B529" s="2" t="str">
        <f>"V3615733081001"</f>
        <v>V3615733081001</v>
      </c>
      <c r="C529" s="2" t="s">
        <v>4372</v>
      </c>
      <c r="D529" s="2" t="s">
        <v>1900</v>
      </c>
      <c r="E529" s="2" t="s">
        <v>4163</v>
      </c>
      <c r="F529" s="2" t="s">
        <v>13</v>
      </c>
      <c r="H529" s="2">
        <v>2013</v>
      </c>
      <c r="I529" s="2" t="s">
        <v>4373</v>
      </c>
      <c r="J529" s="2" t="s">
        <v>15</v>
      </c>
      <c r="K529" s="2" t="s">
        <v>4374</v>
      </c>
    </row>
    <row r="530" spans="1:11" x14ac:dyDescent="0.25">
      <c r="A530" s="2" t="s">
        <v>2822</v>
      </c>
      <c r="B530" s="2" t="str">
        <f>"V3615733082001"</f>
        <v>V3615733082001</v>
      </c>
      <c r="C530" s="2" t="s">
        <v>4375</v>
      </c>
      <c r="D530" s="2" t="s">
        <v>1900</v>
      </c>
      <c r="E530" s="2" t="s">
        <v>4163</v>
      </c>
      <c r="F530" s="2" t="s">
        <v>13</v>
      </c>
      <c r="H530" s="2">
        <v>2013</v>
      </c>
      <c r="I530" s="2" t="s">
        <v>4376</v>
      </c>
      <c r="J530" s="2" t="s">
        <v>15</v>
      </c>
      <c r="K530" s="2" t="s">
        <v>4377</v>
      </c>
    </row>
    <row r="531" spans="1:11" x14ac:dyDescent="0.25">
      <c r="A531" s="2" t="s">
        <v>2822</v>
      </c>
      <c r="B531" s="2" t="str">
        <f>"V3615733083001"</f>
        <v>V3615733083001</v>
      </c>
      <c r="C531" s="2" t="s">
        <v>4378</v>
      </c>
      <c r="D531" s="2" t="s">
        <v>1900</v>
      </c>
      <c r="E531" s="2" t="s">
        <v>4163</v>
      </c>
      <c r="F531" s="2" t="s">
        <v>13</v>
      </c>
      <c r="H531" s="2">
        <v>2013</v>
      </c>
      <c r="I531" s="2" t="s">
        <v>4379</v>
      </c>
      <c r="J531" s="2" t="s">
        <v>15</v>
      </c>
      <c r="K531" s="2" t="s">
        <v>4380</v>
      </c>
    </row>
    <row r="532" spans="1:11" x14ac:dyDescent="0.25">
      <c r="A532" s="2" t="s">
        <v>2822</v>
      </c>
      <c r="B532" s="2" t="str">
        <f>"V3615733084001"</f>
        <v>V3615733084001</v>
      </c>
      <c r="C532" s="2" t="s">
        <v>4381</v>
      </c>
      <c r="D532" s="2" t="s">
        <v>1900</v>
      </c>
      <c r="E532" s="2" t="s">
        <v>4163</v>
      </c>
      <c r="F532" s="2" t="s">
        <v>13</v>
      </c>
      <c r="H532" s="2">
        <v>2013</v>
      </c>
      <c r="I532" s="2" t="s">
        <v>4382</v>
      </c>
      <c r="J532" s="2" t="s">
        <v>15</v>
      </c>
      <c r="K532" s="2" t="s">
        <v>4383</v>
      </c>
    </row>
    <row r="533" spans="1:11" x14ac:dyDescent="0.25">
      <c r="A533" s="2" t="s">
        <v>2822</v>
      </c>
      <c r="B533" s="2" t="str">
        <f>"V3615733085001"</f>
        <v>V3615733085001</v>
      </c>
      <c r="C533" s="2" t="s">
        <v>4384</v>
      </c>
      <c r="D533" s="2" t="s">
        <v>1900</v>
      </c>
      <c r="E533" s="2" t="s">
        <v>4163</v>
      </c>
      <c r="F533" s="2" t="s">
        <v>13</v>
      </c>
      <c r="H533" s="2">
        <v>2013</v>
      </c>
      <c r="I533" s="2" t="s">
        <v>4385</v>
      </c>
      <c r="J533" s="2" t="s">
        <v>15</v>
      </c>
      <c r="K533" s="2" t="s">
        <v>4386</v>
      </c>
    </row>
    <row r="534" spans="1:11" x14ac:dyDescent="0.25">
      <c r="A534" s="2" t="s">
        <v>2822</v>
      </c>
      <c r="B534" s="2" t="str">
        <f>"V3615733086001"</f>
        <v>V3615733086001</v>
      </c>
      <c r="C534" s="2" t="s">
        <v>4387</v>
      </c>
      <c r="D534" s="2" t="s">
        <v>1900</v>
      </c>
      <c r="E534" s="2" t="s">
        <v>4163</v>
      </c>
      <c r="F534" s="2" t="s">
        <v>13</v>
      </c>
      <c r="H534" s="2">
        <v>2013</v>
      </c>
      <c r="I534" s="2" t="s">
        <v>4388</v>
      </c>
      <c r="J534" s="2" t="s">
        <v>15</v>
      </c>
      <c r="K534" s="2" t="s">
        <v>4389</v>
      </c>
    </row>
    <row r="535" spans="1:11" x14ac:dyDescent="0.25">
      <c r="A535" s="2" t="s">
        <v>2822</v>
      </c>
      <c r="B535" s="2" t="str">
        <f>"V3615733087001"</f>
        <v>V3615733087001</v>
      </c>
      <c r="C535" s="2" t="s">
        <v>4390</v>
      </c>
      <c r="D535" s="2" t="s">
        <v>1900</v>
      </c>
      <c r="E535" s="2" t="s">
        <v>4163</v>
      </c>
      <c r="F535" s="2" t="s">
        <v>13</v>
      </c>
      <c r="H535" s="2">
        <v>2013</v>
      </c>
      <c r="I535" s="2" t="s">
        <v>4391</v>
      </c>
      <c r="J535" s="2" t="s">
        <v>15</v>
      </c>
      <c r="K535" s="2" t="s">
        <v>4392</v>
      </c>
    </row>
    <row r="536" spans="1:11" x14ac:dyDescent="0.25">
      <c r="A536" s="2" t="s">
        <v>2822</v>
      </c>
      <c r="B536" s="2" t="str">
        <f>"V6231318658001"</f>
        <v>V6231318658001</v>
      </c>
      <c r="C536" s="2" t="s">
        <v>4393</v>
      </c>
      <c r="D536" s="2" t="s">
        <v>2803</v>
      </c>
      <c r="E536" s="2" t="s">
        <v>4394</v>
      </c>
      <c r="F536" s="2" t="s">
        <v>13</v>
      </c>
      <c r="H536" s="2">
        <v>2021</v>
      </c>
      <c r="I536" s="2" t="s">
        <v>4395</v>
      </c>
      <c r="J536" s="2" t="s">
        <v>15</v>
      </c>
      <c r="K536" s="2" t="s">
        <v>4396</v>
      </c>
    </row>
    <row r="537" spans="1:11" x14ac:dyDescent="0.25">
      <c r="A537" s="2" t="s">
        <v>2822</v>
      </c>
      <c r="B537" s="2" t="str">
        <f>"V6231312663001"</f>
        <v>V6231312663001</v>
      </c>
      <c r="C537" s="2" t="s">
        <v>4397</v>
      </c>
      <c r="D537" s="2" t="s">
        <v>2803</v>
      </c>
      <c r="E537" s="2" t="s">
        <v>4394</v>
      </c>
      <c r="F537" s="2" t="s">
        <v>13</v>
      </c>
      <c r="H537" s="2">
        <v>2021</v>
      </c>
      <c r="I537" s="2" t="s">
        <v>4398</v>
      </c>
      <c r="J537" s="2" t="s">
        <v>15</v>
      </c>
      <c r="K537" s="2" t="s">
        <v>4399</v>
      </c>
    </row>
    <row r="538" spans="1:11" x14ac:dyDescent="0.25">
      <c r="A538" s="2" t="s">
        <v>2822</v>
      </c>
      <c r="B538" s="2" t="str">
        <f>"V6231314423001"</f>
        <v>V6231314423001</v>
      </c>
      <c r="C538" s="2" t="s">
        <v>4400</v>
      </c>
      <c r="D538" s="2" t="s">
        <v>2803</v>
      </c>
      <c r="E538" s="2" t="s">
        <v>4394</v>
      </c>
      <c r="F538" s="2" t="s">
        <v>13</v>
      </c>
      <c r="H538" s="2">
        <v>2021</v>
      </c>
      <c r="I538" s="2" t="s">
        <v>4401</v>
      </c>
      <c r="J538" s="2" t="s">
        <v>15</v>
      </c>
      <c r="K538" s="2" t="s">
        <v>4402</v>
      </c>
    </row>
    <row r="539" spans="1:11" x14ac:dyDescent="0.25">
      <c r="A539" s="2" t="s">
        <v>2822</v>
      </c>
      <c r="B539" s="2" t="str">
        <f>"V6231318755001"</f>
        <v>V6231318755001</v>
      </c>
      <c r="C539" s="2" t="s">
        <v>4403</v>
      </c>
      <c r="D539" s="2" t="s">
        <v>2803</v>
      </c>
      <c r="E539" s="2" t="s">
        <v>4394</v>
      </c>
      <c r="F539" s="2" t="s">
        <v>13</v>
      </c>
      <c r="H539" s="2">
        <v>2021</v>
      </c>
      <c r="I539" s="2" t="s">
        <v>4404</v>
      </c>
      <c r="J539" s="2" t="s">
        <v>15</v>
      </c>
      <c r="K539" s="2" t="s">
        <v>4405</v>
      </c>
    </row>
    <row r="540" spans="1:11" x14ac:dyDescent="0.25">
      <c r="A540" s="2" t="s">
        <v>2822</v>
      </c>
      <c r="B540" s="2" t="str">
        <f>"V6231348676001"</f>
        <v>V6231348676001</v>
      </c>
      <c r="C540" s="2" t="s">
        <v>4406</v>
      </c>
      <c r="D540" s="2" t="s">
        <v>2803</v>
      </c>
      <c r="E540" s="2" t="s">
        <v>4394</v>
      </c>
      <c r="F540" s="2" t="s">
        <v>13</v>
      </c>
      <c r="H540" s="2">
        <v>2021</v>
      </c>
      <c r="I540" s="2" t="s">
        <v>4407</v>
      </c>
      <c r="J540" s="2" t="s">
        <v>15</v>
      </c>
      <c r="K540" s="2" t="s">
        <v>4408</v>
      </c>
    </row>
    <row r="541" spans="1:11" x14ac:dyDescent="0.25">
      <c r="A541" s="2" t="s">
        <v>2822</v>
      </c>
      <c r="B541" s="2" t="str">
        <f>"V6231314321001"</f>
        <v>V6231314321001</v>
      </c>
      <c r="C541" s="2" t="s">
        <v>4409</v>
      </c>
      <c r="D541" s="2" t="s">
        <v>2803</v>
      </c>
      <c r="E541" s="2" t="s">
        <v>4394</v>
      </c>
      <c r="F541" s="2" t="s">
        <v>13</v>
      </c>
      <c r="H541" s="2">
        <v>2021</v>
      </c>
      <c r="I541" s="2" t="s">
        <v>4410</v>
      </c>
      <c r="J541" s="2" t="s">
        <v>15</v>
      </c>
      <c r="K541" s="2" t="s">
        <v>4411</v>
      </c>
    </row>
    <row r="542" spans="1:11" x14ac:dyDescent="0.25">
      <c r="A542" s="2" t="s">
        <v>2822</v>
      </c>
      <c r="B542" s="2" t="str">
        <f>"V6231314425001"</f>
        <v>V6231314425001</v>
      </c>
      <c r="C542" s="2" t="s">
        <v>4412</v>
      </c>
      <c r="D542" s="2" t="s">
        <v>2803</v>
      </c>
      <c r="E542" s="2" t="s">
        <v>4394</v>
      </c>
      <c r="F542" s="2" t="s">
        <v>13</v>
      </c>
      <c r="H542" s="2">
        <v>2021</v>
      </c>
      <c r="I542" s="2" t="s">
        <v>4413</v>
      </c>
      <c r="J542" s="2" t="s">
        <v>15</v>
      </c>
      <c r="K542" s="2" t="s">
        <v>4414</v>
      </c>
    </row>
    <row r="543" spans="1:11" x14ac:dyDescent="0.25">
      <c r="A543" s="2" t="s">
        <v>2822</v>
      </c>
      <c r="B543" s="2" t="str">
        <f>"V6231351905001"</f>
        <v>V6231351905001</v>
      </c>
      <c r="C543" s="2" t="s">
        <v>4415</v>
      </c>
      <c r="D543" s="2" t="s">
        <v>2803</v>
      </c>
      <c r="E543" s="2" t="s">
        <v>4394</v>
      </c>
      <c r="F543" s="2" t="s">
        <v>13</v>
      </c>
      <c r="H543" s="2">
        <v>2021</v>
      </c>
      <c r="I543" s="2" t="s">
        <v>4416</v>
      </c>
      <c r="J543" s="2" t="s">
        <v>15</v>
      </c>
      <c r="K543" s="2" t="s">
        <v>4417</v>
      </c>
    </row>
    <row r="544" spans="1:11" x14ac:dyDescent="0.25">
      <c r="A544" s="2" t="s">
        <v>2822</v>
      </c>
      <c r="B544" s="2" t="str">
        <f>"V6231347497001"</f>
        <v>V6231347497001</v>
      </c>
      <c r="C544" s="2" t="s">
        <v>4418</v>
      </c>
      <c r="D544" s="2" t="s">
        <v>2803</v>
      </c>
      <c r="E544" s="2" t="s">
        <v>4394</v>
      </c>
      <c r="F544" s="2" t="s">
        <v>13</v>
      </c>
      <c r="H544" s="2">
        <v>2021</v>
      </c>
      <c r="I544" s="2" t="s">
        <v>4419</v>
      </c>
      <c r="J544" s="2" t="s">
        <v>15</v>
      </c>
      <c r="K544" s="2" t="s">
        <v>4420</v>
      </c>
    </row>
    <row r="545" spans="1:11" x14ac:dyDescent="0.25">
      <c r="A545" s="2" t="s">
        <v>2822</v>
      </c>
      <c r="B545" s="2" t="str">
        <f>"V6231317513001"</f>
        <v>V6231317513001</v>
      </c>
      <c r="C545" s="2" t="s">
        <v>4421</v>
      </c>
      <c r="D545" s="2" t="s">
        <v>2803</v>
      </c>
      <c r="E545" s="2" t="s">
        <v>4394</v>
      </c>
      <c r="F545" s="2" t="s">
        <v>13</v>
      </c>
      <c r="H545" s="2">
        <v>2021</v>
      </c>
      <c r="I545" s="2" t="s">
        <v>4422</v>
      </c>
      <c r="J545" s="2" t="s">
        <v>15</v>
      </c>
      <c r="K545" s="2" t="s">
        <v>4423</v>
      </c>
    </row>
    <row r="546" spans="1:11" x14ac:dyDescent="0.25">
      <c r="A546" s="2" t="s">
        <v>2822</v>
      </c>
      <c r="B546" s="2" t="str">
        <f>"V6231318756001"</f>
        <v>V6231318756001</v>
      </c>
      <c r="C546" s="2" t="s">
        <v>4424</v>
      </c>
      <c r="D546" s="2" t="s">
        <v>2803</v>
      </c>
      <c r="E546" s="2" t="s">
        <v>4394</v>
      </c>
      <c r="F546" s="2" t="s">
        <v>13</v>
      </c>
      <c r="H546" s="2">
        <v>2021</v>
      </c>
      <c r="I546" s="2" t="s">
        <v>4425</v>
      </c>
      <c r="J546" s="2" t="s">
        <v>15</v>
      </c>
      <c r="K546" s="2" t="s">
        <v>4426</v>
      </c>
    </row>
    <row r="547" spans="1:11" x14ac:dyDescent="0.25">
      <c r="A547" s="2" t="s">
        <v>2822</v>
      </c>
      <c r="B547" s="2" t="str">
        <f>"V6231316577001"</f>
        <v>V6231316577001</v>
      </c>
      <c r="C547" s="2" t="s">
        <v>4427</v>
      </c>
      <c r="D547" s="2" t="s">
        <v>2803</v>
      </c>
      <c r="E547" s="2" t="s">
        <v>4394</v>
      </c>
      <c r="F547" s="2" t="s">
        <v>13</v>
      </c>
      <c r="H547" s="2">
        <v>2021</v>
      </c>
      <c r="I547" s="2" t="s">
        <v>4428</v>
      </c>
      <c r="J547" s="2" t="s">
        <v>15</v>
      </c>
      <c r="K547" s="2" t="s">
        <v>4429</v>
      </c>
    </row>
    <row r="548" spans="1:11" x14ac:dyDescent="0.25">
      <c r="A548" s="2" t="s">
        <v>2822</v>
      </c>
      <c r="B548" s="2" t="str">
        <f>"V6231345093001"</f>
        <v>V6231345093001</v>
      </c>
      <c r="C548" s="2" t="s">
        <v>4430</v>
      </c>
      <c r="D548" s="2" t="s">
        <v>2803</v>
      </c>
      <c r="E548" s="2" t="s">
        <v>4394</v>
      </c>
      <c r="F548" s="2" t="s">
        <v>13</v>
      </c>
      <c r="H548" s="2">
        <v>2021</v>
      </c>
      <c r="I548" s="2" t="s">
        <v>4431</v>
      </c>
      <c r="J548" s="2" t="s">
        <v>15</v>
      </c>
      <c r="K548" s="2" t="s">
        <v>4432</v>
      </c>
    </row>
    <row r="549" spans="1:11" x14ac:dyDescent="0.25">
      <c r="A549" s="2" t="s">
        <v>2822</v>
      </c>
      <c r="B549" s="2" t="str">
        <f>"V6231318659001"</f>
        <v>V6231318659001</v>
      </c>
      <c r="C549" s="2" t="s">
        <v>4433</v>
      </c>
      <c r="D549" s="2" t="s">
        <v>2803</v>
      </c>
      <c r="E549" s="2" t="s">
        <v>4394</v>
      </c>
      <c r="F549" s="2" t="s">
        <v>13</v>
      </c>
      <c r="H549" s="2">
        <v>2021</v>
      </c>
      <c r="I549" s="2" t="s">
        <v>4434</v>
      </c>
      <c r="J549" s="2" t="s">
        <v>15</v>
      </c>
      <c r="K549" s="2" t="s">
        <v>4435</v>
      </c>
    </row>
    <row r="550" spans="1:11" x14ac:dyDescent="0.25">
      <c r="A550" s="2" t="s">
        <v>2822</v>
      </c>
      <c r="B550" s="2" t="str">
        <f>"V6231314320001"</f>
        <v>V6231314320001</v>
      </c>
      <c r="C550" s="2" t="s">
        <v>4436</v>
      </c>
      <c r="D550" s="2" t="s">
        <v>2803</v>
      </c>
      <c r="E550" s="2" t="s">
        <v>4394</v>
      </c>
      <c r="F550" s="2" t="s">
        <v>13</v>
      </c>
      <c r="H550" s="2">
        <v>2021</v>
      </c>
      <c r="I550" s="2" t="s">
        <v>4437</v>
      </c>
      <c r="J550" s="2" t="s">
        <v>15</v>
      </c>
      <c r="K550" s="2" t="s">
        <v>4438</v>
      </c>
    </row>
    <row r="551" spans="1:11" x14ac:dyDescent="0.25">
      <c r="A551" s="2" t="s">
        <v>2822</v>
      </c>
      <c r="B551" s="2" t="str">
        <f>"V6231360545001"</f>
        <v>V6231360545001</v>
      </c>
      <c r="C551" s="2" t="s">
        <v>4439</v>
      </c>
      <c r="D551" s="2" t="s">
        <v>2803</v>
      </c>
      <c r="E551" s="2" t="s">
        <v>4394</v>
      </c>
      <c r="F551" s="2" t="s">
        <v>13</v>
      </c>
      <c r="H551" s="2">
        <v>2021</v>
      </c>
      <c r="I551" s="2" t="s">
        <v>4440</v>
      </c>
      <c r="J551" s="2" t="s">
        <v>15</v>
      </c>
      <c r="K551" s="2" t="s">
        <v>4441</v>
      </c>
    </row>
    <row r="552" spans="1:11" x14ac:dyDescent="0.25">
      <c r="A552" s="2" t="s">
        <v>2822</v>
      </c>
      <c r="B552" s="2" t="str">
        <f>"V6231318754001"</f>
        <v>V6231318754001</v>
      </c>
      <c r="C552" s="2" t="s">
        <v>4442</v>
      </c>
      <c r="D552" s="2" t="s">
        <v>2803</v>
      </c>
      <c r="E552" s="2" t="s">
        <v>4394</v>
      </c>
      <c r="F552" s="2" t="s">
        <v>13</v>
      </c>
      <c r="H552" s="2">
        <v>2021</v>
      </c>
      <c r="I552" s="2" t="s">
        <v>4443</v>
      </c>
      <c r="J552" s="2" t="s">
        <v>15</v>
      </c>
      <c r="K552" s="2" t="s">
        <v>4444</v>
      </c>
    </row>
    <row r="553" spans="1:11" x14ac:dyDescent="0.25">
      <c r="A553" s="2" t="s">
        <v>2822</v>
      </c>
      <c r="B553" s="2" t="str">
        <f>"V6231316574001"</f>
        <v>V6231316574001</v>
      </c>
      <c r="C553" s="2" t="s">
        <v>4445</v>
      </c>
      <c r="D553" s="2" t="s">
        <v>2803</v>
      </c>
      <c r="E553" s="2" t="s">
        <v>4394</v>
      </c>
      <c r="F553" s="2" t="s">
        <v>13</v>
      </c>
      <c r="H553" s="2">
        <v>2021</v>
      </c>
      <c r="I553" s="2" t="s">
        <v>4446</v>
      </c>
      <c r="J553" s="2" t="s">
        <v>15</v>
      </c>
      <c r="K553" s="2" t="s">
        <v>4447</v>
      </c>
    </row>
    <row r="554" spans="1:11" x14ac:dyDescent="0.25">
      <c r="A554" s="2" t="s">
        <v>2822</v>
      </c>
      <c r="B554" s="2" t="str">
        <f>"V6231360260001"</f>
        <v>V6231360260001</v>
      </c>
      <c r="C554" s="2" t="s">
        <v>4448</v>
      </c>
      <c r="D554" s="2" t="s">
        <v>2803</v>
      </c>
      <c r="E554" s="2" t="s">
        <v>4394</v>
      </c>
      <c r="F554" s="2" t="s">
        <v>13</v>
      </c>
      <c r="H554" s="2">
        <v>2021</v>
      </c>
      <c r="I554" s="2" t="s">
        <v>4449</v>
      </c>
      <c r="J554" s="2" t="s">
        <v>15</v>
      </c>
      <c r="K554" s="2" t="s">
        <v>4450</v>
      </c>
    </row>
    <row r="555" spans="1:11" x14ac:dyDescent="0.25">
      <c r="A555" s="2" t="s">
        <v>2822</v>
      </c>
      <c r="B555" s="2" t="str">
        <f>"V6231315684001"</f>
        <v>V6231315684001</v>
      </c>
      <c r="C555" s="2" t="s">
        <v>4451</v>
      </c>
      <c r="D555" s="2" t="s">
        <v>2803</v>
      </c>
      <c r="E555" s="2" t="s">
        <v>4394</v>
      </c>
      <c r="F555" s="2" t="s">
        <v>13</v>
      </c>
      <c r="H555" s="2">
        <v>2021</v>
      </c>
      <c r="I555" s="2" t="s">
        <v>4452</v>
      </c>
      <c r="J555" s="2" t="s">
        <v>15</v>
      </c>
      <c r="K555" s="2" t="s">
        <v>4453</v>
      </c>
    </row>
    <row r="556" spans="1:11" x14ac:dyDescent="0.25">
      <c r="A556" s="2" t="s">
        <v>2822</v>
      </c>
      <c r="B556" s="2" t="str">
        <f>"V6231315872001"</f>
        <v>V6231315872001</v>
      </c>
      <c r="C556" s="2" t="s">
        <v>4454</v>
      </c>
      <c r="D556" s="2" t="s">
        <v>2803</v>
      </c>
      <c r="E556" s="2" t="s">
        <v>4394</v>
      </c>
      <c r="F556" s="2" t="s">
        <v>13</v>
      </c>
      <c r="H556" s="2">
        <v>2021</v>
      </c>
      <c r="I556" s="2" t="s">
        <v>4455</v>
      </c>
      <c r="J556" s="2" t="s">
        <v>15</v>
      </c>
      <c r="K556" s="2" t="s">
        <v>4456</v>
      </c>
    </row>
    <row r="557" spans="1:11" x14ac:dyDescent="0.25">
      <c r="A557" s="2" t="s">
        <v>2822</v>
      </c>
      <c r="B557" s="2" t="str">
        <f>"V6231318657001"</f>
        <v>V6231318657001</v>
      </c>
      <c r="C557" s="2" t="s">
        <v>4457</v>
      </c>
      <c r="D557" s="2" t="s">
        <v>2803</v>
      </c>
      <c r="E557" s="2" t="s">
        <v>4394</v>
      </c>
      <c r="F557" s="2" t="s">
        <v>13</v>
      </c>
      <c r="H557" s="2">
        <v>2021</v>
      </c>
      <c r="I557" s="2" t="s">
        <v>4458</v>
      </c>
      <c r="J557" s="2" t="s">
        <v>15</v>
      </c>
      <c r="K557" s="2" t="s">
        <v>4459</v>
      </c>
    </row>
    <row r="558" spans="1:11" x14ac:dyDescent="0.25">
      <c r="A558" s="2" t="s">
        <v>2822</v>
      </c>
      <c r="B558" s="2" t="str">
        <f>"V6231314422001"</f>
        <v>V6231314422001</v>
      </c>
      <c r="C558" s="2" t="s">
        <v>4460</v>
      </c>
      <c r="D558" s="2" t="s">
        <v>2803</v>
      </c>
      <c r="E558" s="2" t="s">
        <v>4394</v>
      </c>
      <c r="F558" s="2" t="s">
        <v>13</v>
      </c>
      <c r="H558" s="2">
        <v>2021</v>
      </c>
      <c r="I558" s="2" t="s">
        <v>4461</v>
      </c>
      <c r="J558" s="2" t="s">
        <v>15</v>
      </c>
      <c r="K558" s="2" t="s">
        <v>4462</v>
      </c>
    </row>
    <row r="559" spans="1:11" x14ac:dyDescent="0.25">
      <c r="A559" s="2" t="s">
        <v>2822</v>
      </c>
      <c r="B559" s="2" t="str">
        <f>"V6231315685001"</f>
        <v>V6231315685001</v>
      </c>
      <c r="C559" s="2" t="s">
        <v>4463</v>
      </c>
      <c r="D559" s="2" t="s">
        <v>2803</v>
      </c>
      <c r="E559" s="2" t="s">
        <v>4394</v>
      </c>
      <c r="F559" s="2" t="s">
        <v>13</v>
      </c>
      <c r="H559" s="2">
        <v>2021</v>
      </c>
      <c r="I559" s="2" t="s">
        <v>4464</v>
      </c>
      <c r="J559" s="2" t="s">
        <v>15</v>
      </c>
      <c r="K559" s="2" t="s">
        <v>4465</v>
      </c>
    </row>
    <row r="560" spans="1:11" x14ac:dyDescent="0.25">
      <c r="A560" s="2" t="s">
        <v>2822</v>
      </c>
      <c r="B560" s="2" t="str">
        <f>"V6231312664001"</f>
        <v>V6231312664001</v>
      </c>
      <c r="C560" s="2" t="s">
        <v>4466</v>
      </c>
      <c r="D560" s="2" t="s">
        <v>2803</v>
      </c>
      <c r="E560" s="2" t="s">
        <v>4394</v>
      </c>
      <c r="F560" s="2" t="s">
        <v>13</v>
      </c>
      <c r="H560" s="2">
        <v>2021</v>
      </c>
      <c r="I560" s="2" t="s">
        <v>4467</v>
      </c>
      <c r="J560" s="2" t="s">
        <v>15</v>
      </c>
      <c r="K560" s="2" t="s">
        <v>4468</v>
      </c>
    </row>
    <row r="561" spans="1:11" x14ac:dyDescent="0.25">
      <c r="A561" s="2" t="s">
        <v>2822</v>
      </c>
      <c r="B561" s="2" t="str">
        <f>"V2929037647001"</f>
        <v>V2929037647001</v>
      </c>
      <c r="C561" s="2" t="s">
        <v>4469</v>
      </c>
      <c r="D561" s="2" t="s">
        <v>2466</v>
      </c>
      <c r="E561" s="2" t="s">
        <v>2903</v>
      </c>
      <c r="F561" s="2" t="s">
        <v>13</v>
      </c>
      <c r="H561" s="2">
        <v>2013</v>
      </c>
      <c r="I561" s="2" t="s">
        <v>4470</v>
      </c>
      <c r="J561" s="2" t="s">
        <v>15</v>
      </c>
      <c r="K561" s="2" t="s">
        <v>4471</v>
      </c>
    </row>
    <row r="562" spans="1:11" x14ac:dyDescent="0.25">
      <c r="A562" s="2" t="s">
        <v>2822</v>
      </c>
      <c r="B562" s="2" t="str">
        <f>"V2929037646001"</f>
        <v>V2929037646001</v>
      </c>
      <c r="C562" s="2" t="s">
        <v>4472</v>
      </c>
      <c r="D562" s="2" t="s">
        <v>2466</v>
      </c>
      <c r="E562" s="2" t="s">
        <v>2903</v>
      </c>
      <c r="F562" s="2" t="s">
        <v>13</v>
      </c>
      <c r="H562" s="2">
        <v>2013</v>
      </c>
      <c r="I562" s="2" t="s">
        <v>4473</v>
      </c>
      <c r="J562" s="2" t="s">
        <v>15</v>
      </c>
      <c r="K562" s="2" t="s">
        <v>4474</v>
      </c>
    </row>
    <row r="563" spans="1:11" x14ac:dyDescent="0.25">
      <c r="A563" s="2" t="s">
        <v>2822</v>
      </c>
      <c r="B563" s="2" t="str">
        <f>"V2929037667001"</f>
        <v>V2929037667001</v>
      </c>
      <c r="C563" s="2" t="s">
        <v>4475</v>
      </c>
      <c r="D563" s="2" t="s">
        <v>2466</v>
      </c>
      <c r="E563" s="2" t="s">
        <v>2903</v>
      </c>
      <c r="F563" s="2" t="s">
        <v>13</v>
      </c>
      <c r="H563" s="2">
        <v>2013</v>
      </c>
      <c r="I563" s="2" t="s">
        <v>4476</v>
      </c>
      <c r="J563" s="2" t="s">
        <v>15</v>
      </c>
      <c r="K563" s="2" t="s">
        <v>4477</v>
      </c>
    </row>
    <row r="564" spans="1:11" x14ac:dyDescent="0.25">
      <c r="A564" s="2" t="s">
        <v>2822</v>
      </c>
      <c r="B564" s="2" t="str">
        <f>"V2929037668001"</f>
        <v>V2929037668001</v>
      </c>
      <c r="C564" s="2" t="s">
        <v>4478</v>
      </c>
      <c r="D564" s="2" t="s">
        <v>2466</v>
      </c>
      <c r="E564" s="2" t="s">
        <v>2903</v>
      </c>
      <c r="F564" s="2" t="s">
        <v>13</v>
      </c>
      <c r="H564" s="2">
        <v>2013</v>
      </c>
      <c r="I564" s="2" t="s">
        <v>4479</v>
      </c>
      <c r="J564" s="2" t="s">
        <v>15</v>
      </c>
      <c r="K564" s="2" t="s">
        <v>4480</v>
      </c>
    </row>
    <row r="565" spans="1:11" x14ac:dyDescent="0.25">
      <c r="A565" s="2" t="s">
        <v>2822</v>
      </c>
      <c r="B565" s="2" t="str">
        <f>"V2929037669001"</f>
        <v>V2929037669001</v>
      </c>
      <c r="C565" s="2" t="s">
        <v>4481</v>
      </c>
      <c r="D565" s="2" t="s">
        <v>2466</v>
      </c>
      <c r="E565" s="2" t="s">
        <v>2903</v>
      </c>
      <c r="F565" s="2" t="s">
        <v>13</v>
      </c>
      <c r="H565" s="2">
        <v>2013</v>
      </c>
      <c r="I565" s="2" t="s">
        <v>4482</v>
      </c>
      <c r="J565" s="2" t="s">
        <v>15</v>
      </c>
      <c r="K565" s="2" t="s">
        <v>4483</v>
      </c>
    </row>
    <row r="566" spans="1:11" x14ac:dyDescent="0.25">
      <c r="A566" s="2" t="s">
        <v>2822</v>
      </c>
      <c r="B566" s="2" t="str">
        <f>"V2929037670001"</f>
        <v>V2929037670001</v>
      </c>
      <c r="C566" s="2" t="s">
        <v>4484</v>
      </c>
      <c r="D566" s="2" t="s">
        <v>2466</v>
      </c>
      <c r="E566" s="2" t="s">
        <v>2903</v>
      </c>
      <c r="F566" s="2" t="s">
        <v>13</v>
      </c>
      <c r="H566" s="2">
        <v>2013</v>
      </c>
      <c r="I566" s="2" t="s">
        <v>4485</v>
      </c>
      <c r="J566" s="2" t="s">
        <v>15</v>
      </c>
      <c r="K566" s="2" t="s">
        <v>4486</v>
      </c>
    </row>
    <row r="567" spans="1:11" x14ac:dyDescent="0.25">
      <c r="A567" s="2" t="s">
        <v>2822</v>
      </c>
      <c r="B567" s="2" t="str">
        <f>"V2929037648001"</f>
        <v>V2929037648001</v>
      </c>
      <c r="C567" s="2" t="s">
        <v>4487</v>
      </c>
      <c r="D567" s="2" t="s">
        <v>2466</v>
      </c>
      <c r="E567" s="2" t="s">
        <v>2903</v>
      </c>
      <c r="F567" s="2" t="s">
        <v>13</v>
      </c>
      <c r="H567" s="2">
        <v>2013</v>
      </c>
      <c r="I567" s="2" t="s">
        <v>4488</v>
      </c>
      <c r="J567" s="2" t="s">
        <v>15</v>
      </c>
      <c r="K567" s="2" t="s">
        <v>4489</v>
      </c>
    </row>
    <row r="568" spans="1:11" x14ac:dyDescent="0.25">
      <c r="A568" s="2" t="s">
        <v>2822</v>
      </c>
      <c r="B568" s="2" t="str">
        <f>"V2929037649001"</f>
        <v>V2929037649001</v>
      </c>
      <c r="C568" s="2" t="s">
        <v>4490</v>
      </c>
      <c r="D568" s="2" t="s">
        <v>2466</v>
      </c>
      <c r="E568" s="2" t="s">
        <v>2903</v>
      </c>
      <c r="F568" s="2" t="s">
        <v>13</v>
      </c>
      <c r="H568" s="2">
        <v>2013</v>
      </c>
      <c r="I568" s="2" t="s">
        <v>4491</v>
      </c>
      <c r="J568" s="2" t="s">
        <v>15</v>
      </c>
      <c r="K568" s="2" t="s">
        <v>4492</v>
      </c>
    </row>
    <row r="569" spans="1:11" x14ac:dyDescent="0.25">
      <c r="A569" s="2" t="s">
        <v>2822</v>
      </c>
      <c r="B569" s="2" t="str">
        <f>"V2929037650001"</f>
        <v>V2929037650001</v>
      </c>
      <c r="C569" s="2" t="s">
        <v>4493</v>
      </c>
      <c r="D569" s="2" t="s">
        <v>2466</v>
      </c>
      <c r="E569" s="2" t="s">
        <v>2903</v>
      </c>
      <c r="F569" s="2" t="s">
        <v>13</v>
      </c>
      <c r="H569" s="2">
        <v>2013</v>
      </c>
      <c r="I569" s="2" t="s">
        <v>4494</v>
      </c>
      <c r="J569" s="2" t="s">
        <v>15</v>
      </c>
      <c r="K569" s="2" t="s">
        <v>4495</v>
      </c>
    </row>
    <row r="570" spans="1:11" x14ac:dyDescent="0.25">
      <c r="A570" s="2" t="s">
        <v>2822</v>
      </c>
      <c r="B570" s="2" t="str">
        <f>"V2929037651001"</f>
        <v>V2929037651001</v>
      </c>
      <c r="C570" s="2" t="s">
        <v>4496</v>
      </c>
      <c r="D570" s="2" t="s">
        <v>2466</v>
      </c>
      <c r="E570" s="2" t="s">
        <v>2903</v>
      </c>
      <c r="F570" s="2" t="s">
        <v>13</v>
      </c>
      <c r="H570" s="2">
        <v>2013</v>
      </c>
      <c r="I570" s="2" t="s">
        <v>4497</v>
      </c>
      <c r="J570" s="2" t="s">
        <v>15</v>
      </c>
      <c r="K570" s="2" t="s">
        <v>4498</v>
      </c>
    </row>
    <row r="571" spans="1:11" x14ac:dyDescent="0.25">
      <c r="A571" s="2" t="s">
        <v>2822</v>
      </c>
      <c r="B571" s="2" t="str">
        <f>"V2929037652001"</f>
        <v>V2929037652001</v>
      </c>
      <c r="C571" s="2" t="s">
        <v>4499</v>
      </c>
      <c r="D571" s="2" t="s">
        <v>2466</v>
      </c>
      <c r="E571" s="2" t="s">
        <v>2903</v>
      </c>
      <c r="F571" s="2" t="s">
        <v>13</v>
      </c>
      <c r="H571" s="2">
        <v>2013</v>
      </c>
      <c r="I571" s="2" t="s">
        <v>4500</v>
      </c>
      <c r="J571" s="2" t="s">
        <v>15</v>
      </c>
      <c r="K571" s="2" t="s">
        <v>4501</v>
      </c>
    </row>
    <row r="572" spans="1:11" x14ac:dyDescent="0.25">
      <c r="A572" s="2" t="s">
        <v>2822</v>
      </c>
      <c r="B572" s="2" t="str">
        <f>"V2929037653001"</f>
        <v>V2929037653001</v>
      </c>
      <c r="C572" s="2" t="s">
        <v>4502</v>
      </c>
      <c r="D572" s="2" t="s">
        <v>2466</v>
      </c>
      <c r="E572" s="2" t="s">
        <v>2903</v>
      </c>
      <c r="F572" s="2" t="s">
        <v>13</v>
      </c>
      <c r="H572" s="2">
        <v>2013</v>
      </c>
      <c r="I572" s="2" t="s">
        <v>4503</v>
      </c>
      <c r="J572" s="2" t="s">
        <v>15</v>
      </c>
      <c r="K572" s="2" t="s">
        <v>4504</v>
      </c>
    </row>
    <row r="573" spans="1:11" x14ac:dyDescent="0.25">
      <c r="A573" s="2" t="s">
        <v>2822</v>
      </c>
      <c r="B573" s="2" t="str">
        <f>"V2929037654001"</f>
        <v>V2929037654001</v>
      </c>
      <c r="C573" s="2" t="s">
        <v>4505</v>
      </c>
      <c r="D573" s="2" t="s">
        <v>2466</v>
      </c>
      <c r="E573" s="2" t="s">
        <v>2903</v>
      </c>
      <c r="F573" s="2" t="s">
        <v>13</v>
      </c>
      <c r="H573" s="2">
        <v>2013</v>
      </c>
      <c r="I573" s="2" t="s">
        <v>4506</v>
      </c>
      <c r="J573" s="2" t="s">
        <v>15</v>
      </c>
      <c r="K573" s="2" t="s">
        <v>4507</v>
      </c>
    </row>
    <row r="574" spans="1:11" x14ac:dyDescent="0.25">
      <c r="A574" s="2" t="s">
        <v>2822</v>
      </c>
      <c r="B574" s="2" t="str">
        <f>"V2929037655001"</f>
        <v>V2929037655001</v>
      </c>
      <c r="C574" s="2" t="s">
        <v>4508</v>
      </c>
      <c r="D574" s="2" t="s">
        <v>2466</v>
      </c>
      <c r="E574" s="2" t="s">
        <v>2903</v>
      </c>
      <c r="F574" s="2" t="s">
        <v>13</v>
      </c>
      <c r="H574" s="2">
        <v>2013</v>
      </c>
      <c r="I574" s="2" t="s">
        <v>4509</v>
      </c>
      <c r="J574" s="2" t="s">
        <v>15</v>
      </c>
      <c r="K574" s="2" t="s">
        <v>4510</v>
      </c>
    </row>
    <row r="575" spans="1:11" x14ac:dyDescent="0.25">
      <c r="A575" s="2" t="s">
        <v>2822</v>
      </c>
      <c r="B575" s="2" t="str">
        <f>"V2929037656001"</f>
        <v>V2929037656001</v>
      </c>
      <c r="C575" s="2" t="s">
        <v>4511</v>
      </c>
      <c r="D575" s="2" t="s">
        <v>2466</v>
      </c>
      <c r="E575" s="2" t="s">
        <v>2903</v>
      </c>
      <c r="F575" s="2" t="s">
        <v>13</v>
      </c>
      <c r="H575" s="2">
        <v>2013</v>
      </c>
      <c r="I575" s="2" t="s">
        <v>4512</v>
      </c>
      <c r="J575" s="2" t="s">
        <v>15</v>
      </c>
      <c r="K575" s="2" t="s">
        <v>4513</v>
      </c>
    </row>
    <row r="576" spans="1:11" x14ac:dyDescent="0.25">
      <c r="A576" s="2" t="s">
        <v>2822</v>
      </c>
      <c r="B576" s="2" t="str">
        <f>"V2929037657001"</f>
        <v>V2929037657001</v>
      </c>
      <c r="C576" s="2" t="s">
        <v>4514</v>
      </c>
      <c r="D576" s="2" t="s">
        <v>2466</v>
      </c>
      <c r="E576" s="2" t="s">
        <v>2903</v>
      </c>
      <c r="F576" s="2" t="s">
        <v>13</v>
      </c>
      <c r="H576" s="2">
        <v>2013</v>
      </c>
      <c r="I576" s="2" t="s">
        <v>4515</v>
      </c>
      <c r="J576" s="2" t="s">
        <v>15</v>
      </c>
      <c r="K576" s="2" t="s">
        <v>4516</v>
      </c>
    </row>
    <row r="577" spans="1:11" x14ac:dyDescent="0.25">
      <c r="A577" s="2" t="s">
        <v>2822</v>
      </c>
      <c r="B577" s="2" t="str">
        <f>"V2929037658001"</f>
        <v>V2929037658001</v>
      </c>
      <c r="C577" s="2" t="s">
        <v>4517</v>
      </c>
      <c r="D577" s="2" t="s">
        <v>2466</v>
      </c>
      <c r="E577" s="2" t="s">
        <v>2903</v>
      </c>
      <c r="F577" s="2" t="s">
        <v>13</v>
      </c>
      <c r="H577" s="2">
        <v>2013</v>
      </c>
      <c r="I577" s="2" t="s">
        <v>4518</v>
      </c>
      <c r="J577" s="2" t="s">
        <v>15</v>
      </c>
      <c r="K577" s="2" t="s">
        <v>4519</v>
      </c>
    </row>
    <row r="578" spans="1:11" x14ac:dyDescent="0.25">
      <c r="A578" s="2" t="s">
        <v>2822</v>
      </c>
      <c r="B578" s="2" t="str">
        <f>"V2929037659001"</f>
        <v>V2929037659001</v>
      </c>
      <c r="C578" s="2" t="s">
        <v>4520</v>
      </c>
      <c r="D578" s="2" t="s">
        <v>2466</v>
      </c>
      <c r="E578" s="2" t="s">
        <v>2903</v>
      </c>
      <c r="F578" s="2" t="s">
        <v>13</v>
      </c>
      <c r="H578" s="2">
        <v>2013</v>
      </c>
      <c r="I578" s="2" t="s">
        <v>4521</v>
      </c>
      <c r="J578" s="2" t="s">
        <v>15</v>
      </c>
      <c r="K578" s="2" t="s">
        <v>4522</v>
      </c>
    </row>
    <row r="579" spans="1:11" x14ac:dyDescent="0.25">
      <c r="A579" s="2" t="s">
        <v>2822</v>
      </c>
      <c r="B579" s="2" t="str">
        <f>"V2929037660001"</f>
        <v>V2929037660001</v>
      </c>
      <c r="C579" s="2" t="s">
        <v>4523</v>
      </c>
      <c r="D579" s="2" t="s">
        <v>2466</v>
      </c>
      <c r="E579" s="2" t="s">
        <v>2903</v>
      </c>
      <c r="F579" s="2" t="s">
        <v>13</v>
      </c>
      <c r="H579" s="2">
        <v>2013</v>
      </c>
      <c r="I579" s="2" t="s">
        <v>4524</v>
      </c>
      <c r="J579" s="2" t="s">
        <v>15</v>
      </c>
      <c r="K579" s="2" t="s">
        <v>4525</v>
      </c>
    </row>
    <row r="580" spans="1:11" x14ac:dyDescent="0.25">
      <c r="A580" s="2" t="s">
        <v>2822</v>
      </c>
      <c r="B580" s="2" t="str">
        <f>"V2929037661001"</f>
        <v>V2929037661001</v>
      </c>
      <c r="C580" s="2" t="s">
        <v>4526</v>
      </c>
      <c r="D580" s="2" t="s">
        <v>2466</v>
      </c>
      <c r="E580" s="2" t="s">
        <v>2903</v>
      </c>
      <c r="F580" s="2" t="s">
        <v>13</v>
      </c>
      <c r="H580" s="2">
        <v>2013</v>
      </c>
      <c r="I580" s="2" t="s">
        <v>4527</v>
      </c>
      <c r="J580" s="2" t="s">
        <v>15</v>
      </c>
      <c r="K580" s="2" t="s">
        <v>4528</v>
      </c>
    </row>
    <row r="581" spans="1:11" x14ac:dyDescent="0.25">
      <c r="A581" s="2" t="s">
        <v>2822</v>
      </c>
      <c r="B581" s="2" t="str">
        <f>"V2929037662001"</f>
        <v>V2929037662001</v>
      </c>
      <c r="C581" s="2" t="s">
        <v>4529</v>
      </c>
      <c r="D581" s="2" t="s">
        <v>2466</v>
      </c>
      <c r="E581" s="2" t="s">
        <v>2903</v>
      </c>
      <c r="F581" s="2" t="s">
        <v>13</v>
      </c>
      <c r="H581" s="2">
        <v>2013</v>
      </c>
      <c r="I581" s="2" t="s">
        <v>4530</v>
      </c>
      <c r="J581" s="2" t="s">
        <v>15</v>
      </c>
      <c r="K581" s="2" t="s">
        <v>4531</v>
      </c>
    </row>
    <row r="582" spans="1:11" x14ac:dyDescent="0.25">
      <c r="A582" s="2" t="s">
        <v>2822</v>
      </c>
      <c r="B582" s="2" t="str">
        <f>"V2929037663001"</f>
        <v>V2929037663001</v>
      </c>
      <c r="C582" s="2" t="s">
        <v>4532</v>
      </c>
      <c r="D582" s="2" t="s">
        <v>2466</v>
      </c>
      <c r="E582" s="2" t="s">
        <v>2903</v>
      </c>
      <c r="F582" s="2" t="s">
        <v>13</v>
      </c>
      <c r="H582" s="2">
        <v>2013</v>
      </c>
      <c r="I582" s="2" t="s">
        <v>4533</v>
      </c>
      <c r="J582" s="2" t="s">
        <v>15</v>
      </c>
      <c r="K582" s="2" t="s">
        <v>4534</v>
      </c>
    </row>
    <row r="583" spans="1:11" x14ac:dyDescent="0.25">
      <c r="A583" s="2" t="s">
        <v>2822</v>
      </c>
      <c r="B583" s="2" t="str">
        <f>"V2929037664001"</f>
        <v>V2929037664001</v>
      </c>
      <c r="C583" s="2" t="s">
        <v>4535</v>
      </c>
      <c r="D583" s="2" t="s">
        <v>2466</v>
      </c>
      <c r="E583" s="2" t="s">
        <v>2903</v>
      </c>
      <c r="F583" s="2" t="s">
        <v>13</v>
      </c>
      <c r="H583" s="2">
        <v>2013</v>
      </c>
      <c r="I583" s="2" t="s">
        <v>4536</v>
      </c>
      <c r="J583" s="2" t="s">
        <v>15</v>
      </c>
      <c r="K583" s="2" t="s">
        <v>4537</v>
      </c>
    </row>
    <row r="584" spans="1:11" x14ac:dyDescent="0.25">
      <c r="A584" s="2" t="s">
        <v>2822</v>
      </c>
      <c r="B584" s="2" t="str">
        <f>"V2929037665001"</f>
        <v>V2929037665001</v>
      </c>
      <c r="C584" s="2" t="s">
        <v>4538</v>
      </c>
      <c r="D584" s="2" t="s">
        <v>2466</v>
      </c>
      <c r="E584" s="2" t="s">
        <v>2903</v>
      </c>
      <c r="F584" s="2" t="s">
        <v>13</v>
      </c>
      <c r="H584" s="2">
        <v>2013</v>
      </c>
      <c r="I584" s="2" t="s">
        <v>4539</v>
      </c>
      <c r="J584" s="2" t="s">
        <v>15</v>
      </c>
      <c r="K584" s="2" t="s">
        <v>4540</v>
      </c>
    </row>
    <row r="585" spans="1:11" x14ac:dyDescent="0.25">
      <c r="A585" s="2" t="s">
        <v>2822</v>
      </c>
      <c r="B585" s="2" t="str">
        <f>"V2929037666001"</f>
        <v>V2929037666001</v>
      </c>
      <c r="C585" s="2" t="s">
        <v>4541</v>
      </c>
      <c r="D585" s="2" t="s">
        <v>2466</v>
      </c>
      <c r="E585" s="2" t="s">
        <v>2903</v>
      </c>
      <c r="F585" s="2" t="s">
        <v>13</v>
      </c>
      <c r="H585" s="2">
        <v>2013</v>
      </c>
      <c r="I585" s="2" t="s">
        <v>4542</v>
      </c>
      <c r="J585" s="2" t="s">
        <v>15</v>
      </c>
      <c r="K585" s="2" t="s">
        <v>4543</v>
      </c>
    </row>
    <row r="586" spans="1:11" x14ac:dyDescent="0.25">
      <c r="A586" s="2" t="s">
        <v>2822</v>
      </c>
      <c r="B586" s="2" t="str">
        <f>"V2949872188001"</f>
        <v>V2949872188001</v>
      </c>
      <c r="C586" s="2" t="s">
        <v>4544</v>
      </c>
      <c r="D586" s="2" t="s">
        <v>4545</v>
      </c>
      <c r="E586" s="2" t="s">
        <v>4546</v>
      </c>
      <c r="F586" s="2" t="s">
        <v>13</v>
      </c>
      <c r="H586" s="2">
        <v>2013</v>
      </c>
      <c r="I586" s="2" t="s">
        <v>4547</v>
      </c>
      <c r="J586" s="2" t="s">
        <v>15</v>
      </c>
      <c r="K586" s="2" t="s">
        <v>4548</v>
      </c>
    </row>
    <row r="587" spans="1:11" x14ac:dyDescent="0.25">
      <c r="A587" s="2" t="s">
        <v>2822</v>
      </c>
      <c r="B587" s="2" t="str">
        <f>"V2949872189001"</f>
        <v>V2949872189001</v>
      </c>
      <c r="C587" s="2" t="s">
        <v>4549</v>
      </c>
      <c r="D587" s="2" t="s">
        <v>4545</v>
      </c>
      <c r="E587" s="2" t="s">
        <v>4546</v>
      </c>
      <c r="F587" s="2" t="s">
        <v>13</v>
      </c>
      <c r="H587" s="2">
        <v>2013</v>
      </c>
      <c r="I587" s="2" t="s">
        <v>4550</v>
      </c>
      <c r="J587" s="2" t="s">
        <v>15</v>
      </c>
      <c r="K587" s="2" t="s">
        <v>4551</v>
      </c>
    </row>
    <row r="588" spans="1:11" x14ac:dyDescent="0.25">
      <c r="A588" s="2" t="s">
        <v>2822</v>
      </c>
      <c r="B588" s="2" t="str">
        <f>"V2949872190001"</f>
        <v>V2949872190001</v>
      </c>
      <c r="C588" s="2" t="s">
        <v>4552</v>
      </c>
      <c r="D588" s="2" t="s">
        <v>4545</v>
      </c>
      <c r="E588" s="2" t="s">
        <v>4546</v>
      </c>
      <c r="F588" s="2" t="s">
        <v>13</v>
      </c>
      <c r="H588" s="2">
        <v>2013</v>
      </c>
      <c r="I588" s="2" t="s">
        <v>4553</v>
      </c>
      <c r="J588" s="2" t="s">
        <v>15</v>
      </c>
      <c r="K588" s="2" t="s">
        <v>4554</v>
      </c>
    </row>
    <row r="589" spans="1:11" x14ac:dyDescent="0.25">
      <c r="A589" s="2" t="s">
        <v>2822</v>
      </c>
      <c r="B589" s="2" t="str">
        <f>"V2949872191001"</f>
        <v>V2949872191001</v>
      </c>
      <c r="C589" s="2" t="s">
        <v>4555</v>
      </c>
      <c r="D589" s="2" t="s">
        <v>4545</v>
      </c>
      <c r="E589" s="2" t="s">
        <v>4546</v>
      </c>
      <c r="F589" s="2" t="s">
        <v>13</v>
      </c>
      <c r="H589" s="2">
        <v>2013</v>
      </c>
      <c r="I589" s="2" t="s">
        <v>4556</v>
      </c>
      <c r="J589" s="2" t="s">
        <v>15</v>
      </c>
      <c r="K589" s="2" t="s">
        <v>4557</v>
      </c>
    </row>
    <row r="590" spans="1:11" x14ac:dyDescent="0.25">
      <c r="A590" s="2" t="s">
        <v>2822</v>
      </c>
      <c r="B590" s="2" t="str">
        <f>"V2949872192001"</f>
        <v>V2949872192001</v>
      </c>
      <c r="C590" s="2" t="s">
        <v>4558</v>
      </c>
      <c r="D590" s="2" t="s">
        <v>4545</v>
      </c>
      <c r="E590" s="2" t="s">
        <v>4546</v>
      </c>
      <c r="F590" s="2" t="s">
        <v>13</v>
      </c>
      <c r="H590" s="2">
        <v>2013</v>
      </c>
      <c r="I590" s="2" t="s">
        <v>4559</v>
      </c>
      <c r="J590" s="2" t="s">
        <v>15</v>
      </c>
      <c r="K590" s="2" t="s">
        <v>4560</v>
      </c>
    </row>
    <row r="591" spans="1:11" x14ac:dyDescent="0.25">
      <c r="A591" s="2" t="s">
        <v>2822</v>
      </c>
      <c r="B591" s="2" t="str">
        <f>"V2949872193001"</f>
        <v>V2949872193001</v>
      </c>
      <c r="C591" s="2" t="s">
        <v>4561</v>
      </c>
      <c r="D591" s="2" t="s">
        <v>4545</v>
      </c>
      <c r="E591" s="2" t="s">
        <v>4546</v>
      </c>
      <c r="F591" s="2" t="s">
        <v>13</v>
      </c>
      <c r="H591" s="2">
        <v>2013</v>
      </c>
      <c r="I591" s="2" t="s">
        <v>4562</v>
      </c>
      <c r="J591" s="2" t="s">
        <v>15</v>
      </c>
      <c r="K591" s="2" t="s">
        <v>4563</v>
      </c>
    </row>
    <row r="592" spans="1:11" x14ac:dyDescent="0.25">
      <c r="A592" s="2" t="s">
        <v>2822</v>
      </c>
      <c r="B592" s="2" t="str">
        <f>"V2949872194001"</f>
        <v>V2949872194001</v>
      </c>
      <c r="C592" s="2" t="s">
        <v>4564</v>
      </c>
      <c r="D592" s="2" t="s">
        <v>4545</v>
      </c>
      <c r="E592" s="2" t="s">
        <v>4546</v>
      </c>
      <c r="F592" s="2" t="s">
        <v>13</v>
      </c>
      <c r="H592" s="2">
        <v>2013</v>
      </c>
      <c r="I592" s="2" t="s">
        <v>4565</v>
      </c>
      <c r="J592" s="2" t="s">
        <v>15</v>
      </c>
      <c r="K592" s="2" t="s">
        <v>4566</v>
      </c>
    </row>
    <row r="593" spans="1:11" x14ac:dyDescent="0.25">
      <c r="A593" s="2" t="s">
        <v>2822</v>
      </c>
      <c r="B593" s="2" t="str">
        <f>"V2949872195001"</f>
        <v>V2949872195001</v>
      </c>
      <c r="C593" s="2" t="s">
        <v>4567</v>
      </c>
      <c r="D593" s="2" t="s">
        <v>4545</v>
      </c>
      <c r="E593" s="2" t="s">
        <v>4546</v>
      </c>
      <c r="F593" s="2" t="s">
        <v>13</v>
      </c>
      <c r="H593" s="2">
        <v>2013</v>
      </c>
      <c r="I593" s="2" t="s">
        <v>4568</v>
      </c>
      <c r="J593" s="2" t="s">
        <v>15</v>
      </c>
      <c r="K593" s="2" t="s">
        <v>4569</v>
      </c>
    </row>
    <row r="594" spans="1:11" x14ac:dyDescent="0.25">
      <c r="A594" s="2" t="s">
        <v>2822</v>
      </c>
      <c r="B594" s="2" t="str">
        <f>"V2949872196001"</f>
        <v>V2949872196001</v>
      </c>
      <c r="C594" s="2" t="s">
        <v>4570</v>
      </c>
      <c r="D594" s="2" t="s">
        <v>4545</v>
      </c>
      <c r="E594" s="2" t="s">
        <v>4546</v>
      </c>
      <c r="F594" s="2" t="s">
        <v>13</v>
      </c>
      <c r="H594" s="2">
        <v>2013</v>
      </c>
      <c r="I594" s="2" t="s">
        <v>4571</v>
      </c>
      <c r="J594" s="2" t="s">
        <v>15</v>
      </c>
      <c r="K594" s="2" t="s">
        <v>4572</v>
      </c>
    </row>
    <row r="595" spans="1:11" x14ac:dyDescent="0.25">
      <c r="A595" s="2" t="s">
        <v>2822</v>
      </c>
      <c r="B595" s="2" t="str">
        <f>"V2949872197001"</f>
        <v>V2949872197001</v>
      </c>
      <c r="C595" s="2" t="s">
        <v>4573</v>
      </c>
      <c r="D595" s="2" t="s">
        <v>4545</v>
      </c>
      <c r="E595" s="2" t="s">
        <v>4546</v>
      </c>
      <c r="F595" s="2" t="s">
        <v>13</v>
      </c>
      <c r="H595" s="2">
        <v>2013</v>
      </c>
      <c r="I595" s="2" t="s">
        <v>4574</v>
      </c>
      <c r="J595" s="2" t="s">
        <v>15</v>
      </c>
      <c r="K595" s="2" t="s">
        <v>4575</v>
      </c>
    </row>
    <row r="596" spans="1:11" x14ac:dyDescent="0.25">
      <c r="A596" s="2" t="s">
        <v>2822</v>
      </c>
      <c r="B596" s="2" t="str">
        <f>"V2949872198001"</f>
        <v>V2949872198001</v>
      </c>
      <c r="C596" s="2" t="s">
        <v>4576</v>
      </c>
      <c r="D596" s="2" t="s">
        <v>4545</v>
      </c>
      <c r="E596" s="2" t="s">
        <v>4546</v>
      </c>
      <c r="F596" s="2" t="s">
        <v>13</v>
      </c>
      <c r="H596" s="2">
        <v>2013</v>
      </c>
      <c r="I596" s="2" t="s">
        <v>4577</v>
      </c>
      <c r="J596" s="2" t="s">
        <v>15</v>
      </c>
      <c r="K596" s="2" t="s">
        <v>4578</v>
      </c>
    </row>
    <row r="597" spans="1:11" x14ac:dyDescent="0.25">
      <c r="A597" s="2" t="s">
        <v>2822</v>
      </c>
      <c r="B597" s="2" t="str">
        <f>"V2949872175001"</f>
        <v>V2949872175001</v>
      </c>
      <c r="C597" s="2" t="s">
        <v>4579</v>
      </c>
      <c r="D597" s="2" t="s">
        <v>4545</v>
      </c>
      <c r="E597" s="2" t="s">
        <v>4546</v>
      </c>
      <c r="F597" s="2" t="s">
        <v>13</v>
      </c>
      <c r="H597" s="2">
        <v>2013</v>
      </c>
      <c r="I597" s="2" t="s">
        <v>4580</v>
      </c>
      <c r="J597" s="2" t="s">
        <v>15</v>
      </c>
      <c r="K597" s="2" t="s">
        <v>4581</v>
      </c>
    </row>
    <row r="598" spans="1:11" x14ac:dyDescent="0.25">
      <c r="A598" s="2" t="s">
        <v>2822</v>
      </c>
      <c r="B598" s="2" t="str">
        <f>"V2949872176001"</f>
        <v>V2949872176001</v>
      </c>
      <c r="C598" s="2" t="s">
        <v>4582</v>
      </c>
      <c r="D598" s="2" t="s">
        <v>4545</v>
      </c>
      <c r="E598" s="2" t="s">
        <v>4546</v>
      </c>
      <c r="F598" s="2" t="s">
        <v>13</v>
      </c>
      <c r="H598" s="2">
        <v>2013</v>
      </c>
      <c r="I598" s="2" t="s">
        <v>4583</v>
      </c>
      <c r="J598" s="2" t="s">
        <v>15</v>
      </c>
      <c r="K598" s="2" t="s">
        <v>4584</v>
      </c>
    </row>
    <row r="599" spans="1:11" x14ac:dyDescent="0.25">
      <c r="A599" s="2" t="s">
        <v>2822</v>
      </c>
      <c r="B599" s="2" t="str">
        <f>"V2949872177001"</f>
        <v>V2949872177001</v>
      </c>
      <c r="C599" s="2" t="s">
        <v>4585</v>
      </c>
      <c r="D599" s="2" t="s">
        <v>4545</v>
      </c>
      <c r="E599" s="2" t="s">
        <v>4546</v>
      </c>
      <c r="F599" s="2" t="s">
        <v>13</v>
      </c>
      <c r="H599" s="2">
        <v>2013</v>
      </c>
      <c r="I599" s="2" t="s">
        <v>4586</v>
      </c>
      <c r="J599" s="2" t="s">
        <v>15</v>
      </c>
      <c r="K599" s="2" t="s">
        <v>4587</v>
      </c>
    </row>
    <row r="600" spans="1:11" x14ac:dyDescent="0.25">
      <c r="A600" s="2" t="s">
        <v>2822</v>
      </c>
      <c r="B600" s="2" t="str">
        <f>"V2949872178001"</f>
        <v>V2949872178001</v>
      </c>
      <c r="C600" s="2" t="s">
        <v>4588</v>
      </c>
      <c r="D600" s="2" t="s">
        <v>4545</v>
      </c>
      <c r="E600" s="2" t="s">
        <v>4546</v>
      </c>
      <c r="F600" s="2" t="s">
        <v>13</v>
      </c>
      <c r="H600" s="2">
        <v>2013</v>
      </c>
      <c r="I600" s="2" t="s">
        <v>4589</v>
      </c>
      <c r="J600" s="2" t="s">
        <v>15</v>
      </c>
      <c r="K600" s="2" t="s">
        <v>4590</v>
      </c>
    </row>
    <row r="601" spans="1:11" x14ac:dyDescent="0.25">
      <c r="A601" s="2" t="s">
        <v>2822</v>
      </c>
      <c r="B601" s="2" t="str">
        <f>"V2949872179001"</f>
        <v>V2949872179001</v>
      </c>
      <c r="C601" s="2" t="s">
        <v>4591</v>
      </c>
      <c r="D601" s="2" t="s">
        <v>4545</v>
      </c>
      <c r="E601" s="2" t="s">
        <v>4546</v>
      </c>
      <c r="F601" s="2" t="s">
        <v>13</v>
      </c>
      <c r="H601" s="2">
        <v>2013</v>
      </c>
      <c r="I601" s="2" t="s">
        <v>4592</v>
      </c>
      <c r="J601" s="2" t="s">
        <v>15</v>
      </c>
      <c r="K601" s="2" t="s">
        <v>4593</v>
      </c>
    </row>
    <row r="602" spans="1:11" x14ac:dyDescent="0.25">
      <c r="A602" s="2" t="s">
        <v>2822</v>
      </c>
      <c r="B602" s="2" t="str">
        <f>"V2949872180001"</f>
        <v>V2949872180001</v>
      </c>
      <c r="C602" s="2" t="s">
        <v>4594</v>
      </c>
      <c r="D602" s="2" t="s">
        <v>4545</v>
      </c>
      <c r="E602" s="2" t="s">
        <v>4546</v>
      </c>
      <c r="F602" s="2" t="s">
        <v>13</v>
      </c>
      <c r="H602" s="2">
        <v>2013</v>
      </c>
      <c r="I602" s="2" t="s">
        <v>4595</v>
      </c>
      <c r="J602" s="2" t="s">
        <v>15</v>
      </c>
      <c r="K602" s="2" t="s">
        <v>4596</v>
      </c>
    </row>
    <row r="603" spans="1:11" x14ac:dyDescent="0.25">
      <c r="A603" s="2" t="s">
        <v>2822</v>
      </c>
      <c r="B603" s="2" t="str">
        <f>"V2949872181001"</f>
        <v>V2949872181001</v>
      </c>
      <c r="C603" s="2" t="s">
        <v>4597</v>
      </c>
      <c r="D603" s="2" t="s">
        <v>4545</v>
      </c>
      <c r="E603" s="2" t="s">
        <v>4546</v>
      </c>
      <c r="F603" s="2" t="s">
        <v>13</v>
      </c>
      <c r="H603" s="2">
        <v>2013</v>
      </c>
      <c r="I603" s="2" t="s">
        <v>4598</v>
      </c>
      <c r="J603" s="2" t="s">
        <v>15</v>
      </c>
      <c r="K603" s="2" t="s">
        <v>4599</v>
      </c>
    </row>
    <row r="604" spans="1:11" x14ac:dyDescent="0.25">
      <c r="A604" s="2" t="s">
        <v>2822</v>
      </c>
      <c r="B604" s="2" t="str">
        <f>"V2949872182001"</f>
        <v>V2949872182001</v>
      </c>
      <c r="C604" s="2" t="s">
        <v>4600</v>
      </c>
      <c r="D604" s="2" t="s">
        <v>4545</v>
      </c>
      <c r="E604" s="2" t="s">
        <v>4546</v>
      </c>
      <c r="F604" s="2" t="s">
        <v>13</v>
      </c>
      <c r="H604" s="2">
        <v>2013</v>
      </c>
      <c r="I604" s="2" t="s">
        <v>4601</v>
      </c>
      <c r="J604" s="2" t="s">
        <v>15</v>
      </c>
      <c r="K604" s="2" t="s">
        <v>4602</v>
      </c>
    </row>
    <row r="605" spans="1:11" x14ac:dyDescent="0.25">
      <c r="A605" s="2" t="s">
        <v>2822</v>
      </c>
      <c r="B605" s="2" t="str">
        <f>"V2949872183001"</f>
        <v>V2949872183001</v>
      </c>
      <c r="C605" s="2" t="s">
        <v>4603</v>
      </c>
      <c r="D605" s="2" t="s">
        <v>4545</v>
      </c>
      <c r="E605" s="2" t="s">
        <v>4546</v>
      </c>
      <c r="F605" s="2" t="s">
        <v>13</v>
      </c>
      <c r="H605" s="2">
        <v>2013</v>
      </c>
      <c r="I605" s="2" t="s">
        <v>4604</v>
      </c>
      <c r="J605" s="2" t="s">
        <v>15</v>
      </c>
      <c r="K605" s="2" t="s">
        <v>4605</v>
      </c>
    </row>
    <row r="606" spans="1:11" x14ac:dyDescent="0.25">
      <c r="A606" s="2" t="s">
        <v>2822</v>
      </c>
      <c r="B606" s="2" t="str">
        <f>"V2949872184001"</f>
        <v>V2949872184001</v>
      </c>
      <c r="C606" s="2" t="s">
        <v>4606</v>
      </c>
      <c r="D606" s="2" t="s">
        <v>4545</v>
      </c>
      <c r="E606" s="2" t="s">
        <v>4546</v>
      </c>
      <c r="F606" s="2" t="s">
        <v>13</v>
      </c>
      <c r="H606" s="2">
        <v>2013</v>
      </c>
      <c r="I606" s="2" t="s">
        <v>4607</v>
      </c>
      <c r="J606" s="2" t="s">
        <v>15</v>
      </c>
      <c r="K606" s="2" t="s">
        <v>4608</v>
      </c>
    </row>
    <row r="607" spans="1:11" x14ac:dyDescent="0.25">
      <c r="A607" s="2" t="s">
        <v>2822</v>
      </c>
      <c r="B607" s="2" t="str">
        <f>"V2949872185001"</f>
        <v>V2949872185001</v>
      </c>
      <c r="C607" s="2" t="s">
        <v>4609</v>
      </c>
      <c r="D607" s="2" t="s">
        <v>4545</v>
      </c>
      <c r="E607" s="2" t="s">
        <v>4546</v>
      </c>
      <c r="F607" s="2" t="s">
        <v>13</v>
      </c>
      <c r="H607" s="2">
        <v>2013</v>
      </c>
      <c r="I607" s="2" t="s">
        <v>4610</v>
      </c>
      <c r="J607" s="2" t="s">
        <v>15</v>
      </c>
      <c r="K607" s="2" t="s">
        <v>4611</v>
      </c>
    </row>
    <row r="608" spans="1:11" x14ac:dyDescent="0.25">
      <c r="A608" s="2" t="s">
        <v>2822</v>
      </c>
      <c r="B608" s="2" t="str">
        <f>"V2949872186001"</f>
        <v>V2949872186001</v>
      </c>
      <c r="C608" s="2" t="s">
        <v>4612</v>
      </c>
      <c r="D608" s="2" t="s">
        <v>4545</v>
      </c>
      <c r="E608" s="2" t="s">
        <v>4546</v>
      </c>
      <c r="F608" s="2" t="s">
        <v>13</v>
      </c>
      <c r="H608" s="2">
        <v>2013</v>
      </c>
      <c r="I608" s="2" t="s">
        <v>4613</v>
      </c>
      <c r="J608" s="2" t="s">
        <v>15</v>
      </c>
      <c r="K608" s="2" t="s">
        <v>4614</v>
      </c>
    </row>
    <row r="609" spans="1:11" x14ac:dyDescent="0.25">
      <c r="A609" s="2" t="s">
        <v>2822</v>
      </c>
      <c r="B609" s="2" t="str">
        <f>"V2949872187001"</f>
        <v>V2949872187001</v>
      </c>
      <c r="C609" s="2" t="s">
        <v>4615</v>
      </c>
      <c r="D609" s="2" t="s">
        <v>4545</v>
      </c>
      <c r="E609" s="2" t="s">
        <v>4546</v>
      </c>
      <c r="F609" s="2" t="s">
        <v>13</v>
      </c>
      <c r="H609" s="2">
        <v>2013</v>
      </c>
      <c r="I609" s="2" t="s">
        <v>4598</v>
      </c>
      <c r="J609" s="2" t="s">
        <v>15</v>
      </c>
      <c r="K609" s="2" t="s">
        <v>4616</v>
      </c>
    </row>
    <row r="610" spans="1:11" x14ac:dyDescent="0.25">
      <c r="A610" s="2" t="s">
        <v>2822</v>
      </c>
      <c r="B610" s="2" t="str">
        <f>"V2928693112001"</f>
        <v>V2928693112001</v>
      </c>
      <c r="C610" s="2" t="s">
        <v>4617</v>
      </c>
      <c r="D610" s="2" t="s">
        <v>2046</v>
      </c>
      <c r="E610" s="2" t="s">
        <v>2903</v>
      </c>
      <c r="F610" s="2" t="s">
        <v>13</v>
      </c>
      <c r="H610" s="2">
        <v>2013</v>
      </c>
      <c r="I610" s="2" t="s">
        <v>4618</v>
      </c>
      <c r="J610" s="2" t="s">
        <v>15</v>
      </c>
      <c r="K610" s="2" t="s">
        <v>4619</v>
      </c>
    </row>
    <row r="611" spans="1:11" x14ac:dyDescent="0.25">
      <c r="A611" s="2" t="s">
        <v>2822</v>
      </c>
      <c r="B611" s="2" t="str">
        <f>"V2928693113001"</f>
        <v>V2928693113001</v>
      </c>
      <c r="C611" s="2" t="s">
        <v>4620</v>
      </c>
      <c r="D611" s="2" t="s">
        <v>2046</v>
      </c>
      <c r="E611" s="2" t="s">
        <v>2903</v>
      </c>
      <c r="F611" s="2" t="s">
        <v>13</v>
      </c>
      <c r="H611" s="2">
        <v>2013</v>
      </c>
      <c r="I611" s="2" t="s">
        <v>4621</v>
      </c>
      <c r="J611" s="2" t="s">
        <v>15</v>
      </c>
      <c r="K611" s="2" t="s">
        <v>4622</v>
      </c>
    </row>
    <row r="612" spans="1:11" x14ac:dyDescent="0.25">
      <c r="A612" s="2" t="s">
        <v>2822</v>
      </c>
      <c r="B612" s="2" t="str">
        <f>"V2928693114001"</f>
        <v>V2928693114001</v>
      </c>
      <c r="C612" s="2" t="s">
        <v>4623</v>
      </c>
      <c r="D612" s="2" t="s">
        <v>2046</v>
      </c>
      <c r="E612" s="2" t="s">
        <v>2903</v>
      </c>
      <c r="F612" s="2" t="s">
        <v>13</v>
      </c>
      <c r="H612" s="2">
        <v>2013</v>
      </c>
      <c r="I612" s="2" t="s">
        <v>4624</v>
      </c>
      <c r="J612" s="2" t="s">
        <v>15</v>
      </c>
      <c r="K612" s="2" t="s">
        <v>4625</v>
      </c>
    </row>
    <row r="613" spans="1:11" x14ac:dyDescent="0.25">
      <c r="A613" s="2" t="s">
        <v>2822</v>
      </c>
      <c r="B613" s="2" t="str">
        <f>"V2928693115001"</f>
        <v>V2928693115001</v>
      </c>
      <c r="C613" s="2" t="s">
        <v>4626</v>
      </c>
      <c r="D613" s="2" t="s">
        <v>2046</v>
      </c>
      <c r="E613" s="2" t="s">
        <v>2903</v>
      </c>
      <c r="F613" s="2" t="s">
        <v>13</v>
      </c>
      <c r="H613" s="2">
        <v>2013</v>
      </c>
      <c r="I613" s="2" t="s">
        <v>4627</v>
      </c>
      <c r="J613" s="2" t="s">
        <v>15</v>
      </c>
      <c r="K613" s="2" t="s">
        <v>4628</v>
      </c>
    </row>
    <row r="614" spans="1:11" x14ac:dyDescent="0.25">
      <c r="A614" s="2" t="s">
        <v>2822</v>
      </c>
      <c r="B614" s="2" t="str">
        <f>"V2928693116001"</f>
        <v>V2928693116001</v>
      </c>
      <c r="C614" s="2" t="s">
        <v>4629</v>
      </c>
      <c r="D614" s="2" t="s">
        <v>2046</v>
      </c>
      <c r="E614" s="2" t="s">
        <v>2903</v>
      </c>
      <c r="F614" s="2" t="s">
        <v>13</v>
      </c>
      <c r="H614" s="2">
        <v>2013</v>
      </c>
      <c r="I614" s="2" t="s">
        <v>4630</v>
      </c>
      <c r="J614" s="2" t="s">
        <v>15</v>
      </c>
      <c r="K614" s="2" t="s">
        <v>4631</v>
      </c>
    </row>
    <row r="615" spans="1:11" x14ac:dyDescent="0.25">
      <c r="A615" s="2" t="s">
        <v>2822</v>
      </c>
      <c r="B615" s="2" t="str">
        <f>"V2928693117001"</f>
        <v>V2928693117001</v>
      </c>
      <c r="C615" s="2" t="s">
        <v>4632</v>
      </c>
      <c r="D615" s="2" t="s">
        <v>2046</v>
      </c>
      <c r="E615" s="2" t="s">
        <v>2903</v>
      </c>
      <c r="F615" s="2" t="s">
        <v>13</v>
      </c>
      <c r="H615" s="2">
        <v>2013</v>
      </c>
      <c r="I615" s="2" t="s">
        <v>4633</v>
      </c>
      <c r="J615" s="2" t="s">
        <v>15</v>
      </c>
      <c r="K615" s="2" t="s">
        <v>4634</v>
      </c>
    </row>
    <row r="616" spans="1:11" x14ac:dyDescent="0.25">
      <c r="A616" s="2" t="s">
        <v>2822</v>
      </c>
      <c r="B616" s="2" t="str">
        <f>"V2928693118001"</f>
        <v>V2928693118001</v>
      </c>
      <c r="C616" s="2" t="s">
        <v>4635</v>
      </c>
      <c r="D616" s="2" t="s">
        <v>2046</v>
      </c>
      <c r="E616" s="2" t="s">
        <v>2903</v>
      </c>
      <c r="F616" s="2" t="s">
        <v>13</v>
      </c>
      <c r="H616" s="2">
        <v>2013</v>
      </c>
      <c r="I616" s="2" t="s">
        <v>4636</v>
      </c>
      <c r="J616" s="2" t="s">
        <v>15</v>
      </c>
      <c r="K616" s="2" t="s">
        <v>4637</v>
      </c>
    </row>
    <row r="617" spans="1:11" x14ac:dyDescent="0.25">
      <c r="A617" s="2" t="s">
        <v>2822</v>
      </c>
      <c r="B617" s="2" t="str">
        <f>"V2928693119001"</f>
        <v>V2928693119001</v>
      </c>
      <c r="C617" s="2" t="s">
        <v>4638</v>
      </c>
      <c r="D617" s="2" t="s">
        <v>2046</v>
      </c>
      <c r="E617" s="2" t="s">
        <v>2903</v>
      </c>
      <c r="F617" s="2" t="s">
        <v>13</v>
      </c>
      <c r="H617" s="2">
        <v>2013</v>
      </c>
      <c r="I617" s="2" t="s">
        <v>4639</v>
      </c>
      <c r="J617" s="2" t="s">
        <v>15</v>
      </c>
      <c r="K617" s="2" t="s">
        <v>4640</v>
      </c>
    </row>
    <row r="618" spans="1:11" x14ac:dyDescent="0.25">
      <c r="A618" s="2" t="s">
        <v>2822</v>
      </c>
      <c r="B618" s="2" t="str">
        <f>"V2928693120001"</f>
        <v>V2928693120001</v>
      </c>
      <c r="C618" s="2" t="s">
        <v>4641</v>
      </c>
      <c r="D618" s="2" t="s">
        <v>2046</v>
      </c>
      <c r="E618" s="2" t="s">
        <v>2903</v>
      </c>
      <c r="F618" s="2" t="s">
        <v>13</v>
      </c>
      <c r="H618" s="2">
        <v>2013</v>
      </c>
      <c r="I618" s="2" t="s">
        <v>4642</v>
      </c>
      <c r="J618" s="2" t="s">
        <v>15</v>
      </c>
      <c r="K618" s="2" t="s">
        <v>4643</v>
      </c>
    </row>
    <row r="619" spans="1:11" x14ac:dyDescent="0.25">
      <c r="A619" s="2" t="s">
        <v>2822</v>
      </c>
      <c r="B619" s="2" t="str">
        <f>"V2928693102001"</f>
        <v>V2928693102001</v>
      </c>
      <c r="C619" s="2" t="s">
        <v>4644</v>
      </c>
      <c r="D619" s="2" t="s">
        <v>2046</v>
      </c>
      <c r="E619" s="2" t="s">
        <v>2903</v>
      </c>
      <c r="F619" s="2" t="s">
        <v>13</v>
      </c>
      <c r="H619" s="2">
        <v>2013</v>
      </c>
      <c r="I619" s="2" t="s">
        <v>4645</v>
      </c>
      <c r="J619" s="2" t="s">
        <v>15</v>
      </c>
      <c r="K619" s="2" t="s">
        <v>4646</v>
      </c>
    </row>
    <row r="620" spans="1:11" x14ac:dyDescent="0.25">
      <c r="A620" s="2" t="s">
        <v>2822</v>
      </c>
      <c r="B620" s="2" t="str">
        <f>"V2928693103001"</f>
        <v>V2928693103001</v>
      </c>
      <c r="C620" s="2" t="s">
        <v>4647</v>
      </c>
      <c r="D620" s="2" t="s">
        <v>2046</v>
      </c>
      <c r="E620" s="2" t="s">
        <v>2903</v>
      </c>
      <c r="F620" s="2" t="s">
        <v>13</v>
      </c>
      <c r="H620" s="2">
        <v>2013</v>
      </c>
      <c r="I620" s="2" t="s">
        <v>4648</v>
      </c>
      <c r="J620" s="2" t="s">
        <v>15</v>
      </c>
      <c r="K620" s="2" t="s">
        <v>4649</v>
      </c>
    </row>
    <row r="621" spans="1:11" x14ac:dyDescent="0.25">
      <c r="A621" s="2" t="s">
        <v>2822</v>
      </c>
      <c r="B621" s="2" t="str">
        <f>"V2928693104001"</f>
        <v>V2928693104001</v>
      </c>
      <c r="C621" s="2" t="s">
        <v>4650</v>
      </c>
      <c r="D621" s="2" t="s">
        <v>2046</v>
      </c>
      <c r="E621" s="2" t="s">
        <v>2903</v>
      </c>
      <c r="F621" s="2" t="s">
        <v>13</v>
      </c>
      <c r="H621" s="2">
        <v>2013</v>
      </c>
      <c r="I621" s="2" t="s">
        <v>4651</v>
      </c>
      <c r="J621" s="2" t="s">
        <v>15</v>
      </c>
      <c r="K621" s="2" t="s">
        <v>4652</v>
      </c>
    </row>
    <row r="622" spans="1:11" x14ac:dyDescent="0.25">
      <c r="A622" s="2" t="s">
        <v>2822</v>
      </c>
      <c r="B622" s="2" t="str">
        <f>"V2928693105001"</f>
        <v>V2928693105001</v>
      </c>
      <c r="C622" s="2" t="s">
        <v>4653</v>
      </c>
      <c r="D622" s="2" t="s">
        <v>2046</v>
      </c>
      <c r="E622" s="2" t="s">
        <v>2903</v>
      </c>
      <c r="F622" s="2" t="s">
        <v>13</v>
      </c>
      <c r="H622" s="2">
        <v>2013</v>
      </c>
      <c r="I622" s="2" t="s">
        <v>4654</v>
      </c>
      <c r="J622" s="2" t="s">
        <v>15</v>
      </c>
      <c r="K622" s="2" t="s">
        <v>4655</v>
      </c>
    </row>
    <row r="623" spans="1:11" x14ac:dyDescent="0.25">
      <c r="A623" s="2" t="s">
        <v>2822</v>
      </c>
      <c r="B623" s="2" t="str">
        <f>"V2928693106001"</f>
        <v>V2928693106001</v>
      </c>
      <c r="C623" s="2" t="s">
        <v>4656</v>
      </c>
      <c r="D623" s="2" t="s">
        <v>2046</v>
      </c>
      <c r="E623" s="2" t="s">
        <v>2903</v>
      </c>
      <c r="F623" s="2" t="s">
        <v>13</v>
      </c>
      <c r="H623" s="2">
        <v>2013</v>
      </c>
      <c r="I623" s="2" t="s">
        <v>4657</v>
      </c>
      <c r="J623" s="2" t="s">
        <v>15</v>
      </c>
      <c r="K623" s="2" t="s">
        <v>4658</v>
      </c>
    </row>
    <row r="624" spans="1:11" x14ac:dyDescent="0.25">
      <c r="A624" s="2" t="s">
        <v>2822</v>
      </c>
      <c r="B624" s="2" t="str">
        <f>"V2928693121001"</f>
        <v>V2928693121001</v>
      </c>
      <c r="C624" s="2" t="s">
        <v>4659</v>
      </c>
      <c r="D624" s="2" t="s">
        <v>2046</v>
      </c>
      <c r="E624" s="2" t="s">
        <v>2903</v>
      </c>
      <c r="F624" s="2" t="s">
        <v>13</v>
      </c>
      <c r="H624" s="2">
        <v>2013</v>
      </c>
      <c r="I624" s="2" t="s">
        <v>4660</v>
      </c>
      <c r="J624" s="2" t="s">
        <v>15</v>
      </c>
      <c r="K624" s="2" t="s">
        <v>4661</v>
      </c>
    </row>
    <row r="625" spans="1:11" x14ac:dyDescent="0.25">
      <c r="A625" s="2" t="s">
        <v>2822</v>
      </c>
      <c r="B625" s="2" t="str">
        <f>"V2928693107001"</f>
        <v>V2928693107001</v>
      </c>
      <c r="C625" s="2" t="s">
        <v>4662</v>
      </c>
      <c r="D625" s="2" t="s">
        <v>2046</v>
      </c>
      <c r="E625" s="2" t="s">
        <v>2903</v>
      </c>
      <c r="F625" s="2" t="s">
        <v>13</v>
      </c>
      <c r="H625" s="2">
        <v>2013</v>
      </c>
      <c r="I625" s="2" t="s">
        <v>4663</v>
      </c>
      <c r="J625" s="2" t="s">
        <v>15</v>
      </c>
      <c r="K625" s="2" t="s">
        <v>4664</v>
      </c>
    </row>
    <row r="626" spans="1:11" x14ac:dyDescent="0.25">
      <c r="A626" s="2" t="s">
        <v>2822</v>
      </c>
      <c r="B626" s="2" t="str">
        <f>"V2928693108001"</f>
        <v>V2928693108001</v>
      </c>
      <c r="C626" s="2" t="s">
        <v>4665</v>
      </c>
      <c r="D626" s="2" t="s">
        <v>2046</v>
      </c>
      <c r="E626" s="2" t="s">
        <v>2903</v>
      </c>
      <c r="F626" s="2" t="s">
        <v>13</v>
      </c>
      <c r="H626" s="2">
        <v>2013</v>
      </c>
      <c r="I626" s="2" t="s">
        <v>4666</v>
      </c>
      <c r="J626" s="2" t="s">
        <v>15</v>
      </c>
      <c r="K626" s="2" t="s">
        <v>4667</v>
      </c>
    </row>
    <row r="627" spans="1:11" x14ac:dyDescent="0.25">
      <c r="A627" s="2" t="s">
        <v>2822</v>
      </c>
      <c r="B627" s="2" t="str">
        <f>"V2928693109001"</f>
        <v>V2928693109001</v>
      </c>
      <c r="C627" s="2" t="s">
        <v>4668</v>
      </c>
      <c r="D627" s="2" t="s">
        <v>2046</v>
      </c>
      <c r="E627" s="2" t="s">
        <v>2903</v>
      </c>
      <c r="F627" s="2" t="s">
        <v>13</v>
      </c>
      <c r="H627" s="2">
        <v>2013</v>
      </c>
      <c r="I627" s="2" t="s">
        <v>4669</v>
      </c>
      <c r="J627" s="2" t="s">
        <v>15</v>
      </c>
      <c r="K627" s="2" t="s">
        <v>4670</v>
      </c>
    </row>
    <row r="628" spans="1:11" x14ac:dyDescent="0.25">
      <c r="A628" s="2" t="s">
        <v>2822</v>
      </c>
      <c r="B628" s="2" t="str">
        <f>"V2928693110001"</f>
        <v>V2928693110001</v>
      </c>
      <c r="C628" s="2" t="s">
        <v>4671</v>
      </c>
      <c r="D628" s="2" t="s">
        <v>2046</v>
      </c>
      <c r="E628" s="2" t="s">
        <v>2903</v>
      </c>
      <c r="F628" s="2" t="s">
        <v>13</v>
      </c>
      <c r="H628" s="2">
        <v>2013</v>
      </c>
      <c r="I628" s="2" t="s">
        <v>4672</v>
      </c>
      <c r="J628" s="2" t="s">
        <v>15</v>
      </c>
      <c r="K628" s="2" t="s">
        <v>4673</v>
      </c>
    </row>
    <row r="629" spans="1:11" x14ac:dyDescent="0.25">
      <c r="A629" s="2" t="s">
        <v>2822</v>
      </c>
      <c r="B629" s="2" t="str">
        <f>"V2928693111001"</f>
        <v>V2928693111001</v>
      </c>
      <c r="C629" s="2" t="s">
        <v>4674</v>
      </c>
      <c r="D629" s="2" t="s">
        <v>2046</v>
      </c>
      <c r="E629" s="2" t="s">
        <v>2903</v>
      </c>
      <c r="F629" s="2" t="s">
        <v>13</v>
      </c>
      <c r="H629" s="2">
        <v>2013</v>
      </c>
      <c r="I629" s="2" t="s">
        <v>4675</v>
      </c>
      <c r="J629" s="2" t="s">
        <v>15</v>
      </c>
      <c r="K629" s="2" t="s">
        <v>4676</v>
      </c>
    </row>
    <row r="630" spans="1:11" x14ac:dyDescent="0.25">
      <c r="A630" s="2" t="s">
        <v>2822</v>
      </c>
      <c r="B630" s="2" t="str">
        <f>"V2940556041001"</f>
        <v>V2940556041001</v>
      </c>
      <c r="C630" s="2" t="s">
        <v>4677</v>
      </c>
      <c r="D630" s="2" t="s">
        <v>1990</v>
      </c>
      <c r="E630" s="2" t="s">
        <v>4678</v>
      </c>
      <c r="F630" s="2" t="s">
        <v>13</v>
      </c>
      <c r="H630" s="2">
        <v>2013</v>
      </c>
      <c r="I630" s="2" t="s">
        <v>4679</v>
      </c>
      <c r="J630" s="2" t="s">
        <v>15</v>
      </c>
      <c r="K630" s="2" t="s">
        <v>4680</v>
      </c>
    </row>
    <row r="631" spans="1:11" x14ac:dyDescent="0.25">
      <c r="A631" s="2" t="s">
        <v>2822</v>
      </c>
      <c r="B631" s="2" t="str">
        <f>"V2940556040001"</f>
        <v>V2940556040001</v>
      </c>
      <c r="C631" s="2" t="s">
        <v>4681</v>
      </c>
      <c r="D631" s="2" t="s">
        <v>1990</v>
      </c>
      <c r="E631" s="2" t="s">
        <v>4678</v>
      </c>
      <c r="F631" s="2" t="s">
        <v>13</v>
      </c>
      <c r="H631" s="2">
        <v>2013</v>
      </c>
      <c r="I631" s="2" t="s">
        <v>4682</v>
      </c>
      <c r="J631" s="2" t="s">
        <v>15</v>
      </c>
      <c r="K631" s="2" t="s">
        <v>4683</v>
      </c>
    </row>
    <row r="632" spans="1:11" x14ac:dyDescent="0.25">
      <c r="A632" s="2" t="s">
        <v>2822</v>
      </c>
      <c r="B632" s="2" t="str">
        <f>"V2940556042001"</f>
        <v>V2940556042001</v>
      </c>
      <c r="C632" s="2" t="s">
        <v>4684</v>
      </c>
      <c r="D632" s="2" t="s">
        <v>1990</v>
      </c>
      <c r="E632" s="2" t="s">
        <v>4678</v>
      </c>
      <c r="F632" s="2" t="s">
        <v>13</v>
      </c>
      <c r="H632" s="2">
        <v>2013</v>
      </c>
      <c r="I632" s="2" t="s">
        <v>4685</v>
      </c>
      <c r="J632" s="2" t="s">
        <v>15</v>
      </c>
      <c r="K632" s="2" t="s">
        <v>4686</v>
      </c>
    </row>
    <row r="633" spans="1:11" x14ac:dyDescent="0.25">
      <c r="A633" s="2" t="s">
        <v>2822</v>
      </c>
      <c r="B633" s="2" t="str">
        <f>"V2940556026001"</f>
        <v>V2940556026001</v>
      </c>
      <c r="C633" s="2" t="s">
        <v>4687</v>
      </c>
      <c r="D633" s="2" t="s">
        <v>1990</v>
      </c>
      <c r="E633" s="2" t="s">
        <v>4678</v>
      </c>
      <c r="F633" s="2" t="s">
        <v>13</v>
      </c>
      <c r="H633" s="2">
        <v>2013</v>
      </c>
      <c r="I633" s="2" t="s">
        <v>4688</v>
      </c>
      <c r="J633" s="2" t="s">
        <v>15</v>
      </c>
      <c r="K633" s="2" t="s">
        <v>4689</v>
      </c>
    </row>
    <row r="634" spans="1:11" x14ac:dyDescent="0.25">
      <c r="A634" s="2" t="s">
        <v>2822</v>
      </c>
      <c r="B634" s="2" t="str">
        <f>"V2940556027001"</f>
        <v>V2940556027001</v>
      </c>
      <c r="C634" s="2" t="s">
        <v>4690</v>
      </c>
      <c r="D634" s="2" t="s">
        <v>1990</v>
      </c>
      <c r="E634" s="2" t="s">
        <v>4678</v>
      </c>
      <c r="F634" s="2" t="s">
        <v>13</v>
      </c>
      <c r="H634" s="2">
        <v>2013</v>
      </c>
      <c r="I634" s="2" t="s">
        <v>4691</v>
      </c>
      <c r="J634" s="2" t="s">
        <v>15</v>
      </c>
      <c r="K634" s="2" t="s">
        <v>4692</v>
      </c>
    </row>
    <row r="635" spans="1:11" x14ac:dyDescent="0.25">
      <c r="A635" s="2" t="s">
        <v>2822</v>
      </c>
      <c r="B635" s="2" t="str">
        <f>"V2940556043001"</f>
        <v>V2940556043001</v>
      </c>
      <c r="C635" s="2" t="s">
        <v>4693</v>
      </c>
      <c r="D635" s="2" t="s">
        <v>1990</v>
      </c>
      <c r="E635" s="2" t="s">
        <v>4678</v>
      </c>
      <c r="F635" s="2" t="s">
        <v>13</v>
      </c>
      <c r="H635" s="2">
        <v>2013</v>
      </c>
      <c r="I635" s="2" t="s">
        <v>4694</v>
      </c>
      <c r="J635" s="2" t="s">
        <v>15</v>
      </c>
      <c r="K635" s="2" t="s">
        <v>4695</v>
      </c>
    </row>
    <row r="636" spans="1:11" x14ac:dyDescent="0.25">
      <c r="A636" s="2" t="s">
        <v>2822</v>
      </c>
      <c r="B636" s="2" t="str">
        <f>"V2940556044001"</f>
        <v>V2940556044001</v>
      </c>
      <c r="C636" s="2" t="s">
        <v>4696</v>
      </c>
      <c r="D636" s="2" t="s">
        <v>1990</v>
      </c>
      <c r="E636" s="2" t="s">
        <v>4678</v>
      </c>
      <c r="F636" s="2" t="s">
        <v>13</v>
      </c>
      <c r="H636" s="2">
        <v>2013</v>
      </c>
      <c r="I636" s="2" t="s">
        <v>4697</v>
      </c>
      <c r="J636" s="2" t="s">
        <v>15</v>
      </c>
      <c r="K636" s="2" t="s">
        <v>4698</v>
      </c>
    </row>
    <row r="637" spans="1:11" x14ac:dyDescent="0.25">
      <c r="A637" s="2" t="s">
        <v>2822</v>
      </c>
      <c r="B637" s="2" t="str">
        <f>"V2940556045001"</f>
        <v>V2940556045001</v>
      </c>
      <c r="C637" s="2" t="s">
        <v>4699</v>
      </c>
      <c r="D637" s="2" t="s">
        <v>1990</v>
      </c>
      <c r="E637" s="2" t="s">
        <v>4678</v>
      </c>
      <c r="F637" s="2" t="s">
        <v>13</v>
      </c>
      <c r="H637" s="2">
        <v>2013</v>
      </c>
      <c r="I637" s="2" t="s">
        <v>4700</v>
      </c>
      <c r="J637" s="2" t="s">
        <v>15</v>
      </c>
      <c r="K637" s="2" t="s">
        <v>4701</v>
      </c>
    </row>
    <row r="638" spans="1:11" x14ac:dyDescent="0.25">
      <c r="A638" s="2" t="s">
        <v>2822</v>
      </c>
      <c r="B638" s="2" t="str">
        <f>"V2940556028001"</f>
        <v>V2940556028001</v>
      </c>
      <c r="C638" s="2" t="s">
        <v>4702</v>
      </c>
      <c r="D638" s="2" t="s">
        <v>1990</v>
      </c>
      <c r="E638" s="2" t="s">
        <v>4678</v>
      </c>
      <c r="F638" s="2" t="s">
        <v>13</v>
      </c>
      <c r="H638" s="2">
        <v>2013</v>
      </c>
      <c r="I638" s="2" t="s">
        <v>4703</v>
      </c>
      <c r="J638" s="2" t="s">
        <v>15</v>
      </c>
      <c r="K638" s="2" t="s">
        <v>4704</v>
      </c>
    </row>
    <row r="639" spans="1:11" x14ac:dyDescent="0.25">
      <c r="A639" s="2" t="s">
        <v>2822</v>
      </c>
      <c r="B639" s="2" t="str">
        <f>"V2940556029001"</f>
        <v>V2940556029001</v>
      </c>
      <c r="C639" s="2" t="s">
        <v>4705</v>
      </c>
      <c r="D639" s="2" t="s">
        <v>1990</v>
      </c>
      <c r="E639" s="2" t="s">
        <v>4678</v>
      </c>
      <c r="F639" s="2" t="s">
        <v>13</v>
      </c>
      <c r="H639" s="2">
        <v>2013</v>
      </c>
      <c r="I639" s="2" t="s">
        <v>4706</v>
      </c>
      <c r="J639" s="2" t="s">
        <v>15</v>
      </c>
      <c r="K639" s="2" t="s">
        <v>4707</v>
      </c>
    </row>
    <row r="640" spans="1:11" x14ac:dyDescent="0.25">
      <c r="A640" s="2" t="s">
        <v>2822</v>
      </c>
      <c r="B640" s="2" t="str">
        <f>"V2940556030001"</f>
        <v>V2940556030001</v>
      </c>
      <c r="C640" s="2" t="s">
        <v>4708</v>
      </c>
      <c r="D640" s="2" t="s">
        <v>1990</v>
      </c>
      <c r="E640" s="2" t="s">
        <v>4678</v>
      </c>
      <c r="F640" s="2" t="s">
        <v>13</v>
      </c>
      <c r="H640" s="2">
        <v>2013</v>
      </c>
      <c r="I640" s="2" t="s">
        <v>4709</v>
      </c>
      <c r="J640" s="2" t="s">
        <v>15</v>
      </c>
      <c r="K640" s="2" t="s">
        <v>4710</v>
      </c>
    </row>
    <row r="641" spans="1:11" x14ac:dyDescent="0.25">
      <c r="A641" s="2" t="s">
        <v>2822</v>
      </c>
      <c r="B641" s="2" t="str">
        <f>"V2940556031001"</f>
        <v>V2940556031001</v>
      </c>
      <c r="C641" s="2" t="s">
        <v>4711</v>
      </c>
      <c r="D641" s="2" t="s">
        <v>1990</v>
      </c>
      <c r="E641" s="2" t="s">
        <v>4678</v>
      </c>
      <c r="F641" s="2" t="s">
        <v>13</v>
      </c>
      <c r="H641" s="2">
        <v>2013</v>
      </c>
      <c r="I641" s="2" t="s">
        <v>4712</v>
      </c>
      <c r="J641" s="2" t="s">
        <v>15</v>
      </c>
      <c r="K641" s="2" t="s">
        <v>4713</v>
      </c>
    </row>
    <row r="642" spans="1:11" x14ac:dyDescent="0.25">
      <c r="A642" s="2" t="s">
        <v>2822</v>
      </c>
      <c r="B642" s="2" t="str">
        <f>"V2940556032001"</f>
        <v>V2940556032001</v>
      </c>
      <c r="C642" s="2" t="s">
        <v>4714</v>
      </c>
      <c r="D642" s="2" t="s">
        <v>1990</v>
      </c>
      <c r="E642" s="2" t="s">
        <v>4678</v>
      </c>
      <c r="F642" s="2" t="s">
        <v>13</v>
      </c>
      <c r="H642" s="2">
        <v>2013</v>
      </c>
      <c r="I642" s="2" t="s">
        <v>4715</v>
      </c>
      <c r="J642" s="2" t="s">
        <v>15</v>
      </c>
      <c r="K642" s="2" t="s">
        <v>4716</v>
      </c>
    </row>
    <row r="643" spans="1:11" x14ac:dyDescent="0.25">
      <c r="A643" s="2" t="s">
        <v>2822</v>
      </c>
      <c r="B643" s="2" t="str">
        <f>"V2940556033001"</f>
        <v>V2940556033001</v>
      </c>
      <c r="C643" s="2" t="s">
        <v>4717</v>
      </c>
      <c r="D643" s="2" t="s">
        <v>1990</v>
      </c>
      <c r="E643" s="2" t="s">
        <v>4678</v>
      </c>
      <c r="F643" s="2" t="s">
        <v>13</v>
      </c>
      <c r="H643" s="2">
        <v>2013</v>
      </c>
      <c r="I643" s="2" t="s">
        <v>4718</v>
      </c>
      <c r="J643" s="2" t="s">
        <v>15</v>
      </c>
      <c r="K643" s="2" t="s">
        <v>4719</v>
      </c>
    </row>
    <row r="644" spans="1:11" x14ac:dyDescent="0.25">
      <c r="A644" s="2" t="s">
        <v>2822</v>
      </c>
      <c r="B644" s="2" t="str">
        <f>"V2940556034001"</f>
        <v>V2940556034001</v>
      </c>
      <c r="C644" s="2" t="s">
        <v>4720</v>
      </c>
      <c r="D644" s="2" t="s">
        <v>1990</v>
      </c>
      <c r="E644" s="2" t="s">
        <v>4678</v>
      </c>
      <c r="F644" s="2" t="s">
        <v>13</v>
      </c>
      <c r="H644" s="2">
        <v>2013</v>
      </c>
      <c r="I644" s="2" t="s">
        <v>4721</v>
      </c>
      <c r="J644" s="2" t="s">
        <v>15</v>
      </c>
      <c r="K644" s="2" t="s">
        <v>4722</v>
      </c>
    </row>
    <row r="645" spans="1:11" x14ac:dyDescent="0.25">
      <c r="A645" s="2" t="s">
        <v>2822</v>
      </c>
      <c r="B645" s="2" t="str">
        <f>"V2940556035001"</f>
        <v>V2940556035001</v>
      </c>
      <c r="C645" s="2" t="s">
        <v>4723</v>
      </c>
      <c r="D645" s="2" t="s">
        <v>1990</v>
      </c>
      <c r="E645" s="2" t="s">
        <v>4678</v>
      </c>
      <c r="F645" s="2" t="s">
        <v>13</v>
      </c>
      <c r="H645" s="2">
        <v>2013</v>
      </c>
      <c r="I645" s="2" t="s">
        <v>4724</v>
      </c>
      <c r="J645" s="2" t="s">
        <v>15</v>
      </c>
      <c r="K645" s="2" t="s">
        <v>4725</v>
      </c>
    </row>
    <row r="646" spans="1:11" x14ac:dyDescent="0.25">
      <c r="A646" s="2" t="s">
        <v>2822</v>
      </c>
      <c r="B646" s="2" t="str">
        <f>"V2940556036001"</f>
        <v>V2940556036001</v>
      </c>
      <c r="C646" s="2" t="s">
        <v>4726</v>
      </c>
      <c r="D646" s="2" t="s">
        <v>1990</v>
      </c>
      <c r="E646" s="2" t="s">
        <v>4678</v>
      </c>
      <c r="F646" s="2" t="s">
        <v>13</v>
      </c>
      <c r="H646" s="2">
        <v>2013</v>
      </c>
      <c r="I646" s="2" t="s">
        <v>4727</v>
      </c>
      <c r="J646" s="2" t="s">
        <v>15</v>
      </c>
      <c r="K646" s="2" t="s">
        <v>4728</v>
      </c>
    </row>
    <row r="647" spans="1:11" x14ac:dyDescent="0.25">
      <c r="A647" s="2" t="s">
        <v>2822</v>
      </c>
      <c r="B647" s="2" t="str">
        <f>"V2940556037001"</f>
        <v>V2940556037001</v>
      </c>
      <c r="C647" s="2" t="s">
        <v>4729</v>
      </c>
      <c r="D647" s="2" t="s">
        <v>1990</v>
      </c>
      <c r="E647" s="2" t="s">
        <v>4678</v>
      </c>
      <c r="F647" s="2" t="s">
        <v>13</v>
      </c>
      <c r="H647" s="2">
        <v>2013</v>
      </c>
      <c r="I647" s="2" t="s">
        <v>4730</v>
      </c>
      <c r="J647" s="2" t="s">
        <v>15</v>
      </c>
      <c r="K647" s="2" t="s">
        <v>4731</v>
      </c>
    </row>
    <row r="648" spans="1:11" x14ac:dyDescent="0.25">
      <c r="A648" s="2" t="s">
        <v>2822</v>
      </c>
      <c r="B648" s="2" t="str">
        <f>"V2940556038001"</f>
        <v>V2940556038001</v>
      </c>
      <c r="C648" s="2" t="s">
        <v>4732</v>
      </c>
      <c r="D648" s="2" t="s">
        <v>1990</v>
      </c>
      <c r="E648" s="2" t="s">
        <v>4678</v>
      </c>
      <c r="F648" s="2" t="s">
        <v>13</v>
      </c>
      <c r="H648" s="2">
        <v>2013</v>
      </c>
      <c r="I648" s="2" t="s">
        <v>4733</v>
      </c>
      <c r="J648" s="2" t="s">
        <v>15</v>
      </c>
      <c r="K648" s="2" t="s">
        <v>4734</v>
      </c>
    </row>
    <row r="649" spans="1:11" x14ac:dyDescent="0.25">
      <c r="A649" s="2" t="s">
        <v>2822</v>
      </c>
      <c r="B649" s="2" t="str">
        <f>"V2942794483001"</f>
        <v>V2942794483001</v>
      </c>
      <c r="C649" s="2" t="s">
        <v>4735</v>
      </c>
      <c r="D649" s="2" t="s">
        <v>1990</v>
      </c>
      <c r="E649" s="2" t="s">
        <v>4678</v>
      </c>
      <c r="F649" s="2" t="s">
        <v>13</v>
      </c>
      <c r="H649" s="2">
        <v>2013</v>
      </c>
      <c r="I649" s="2" t="s">
        <v>4736</v>
      </c>
      <c r="J649" s="2" t="s">
        <v>15</v>
      </c>
      <c r="K649" s="2" t="s">
        <v>4737</v>
      </c>
    </row>
    <row r="650" spans="1:11" x14ac:dyDescent="0.25">
      <c r="A650" s="2" t="s">
        <v>2822</v>
      </c>
      <c r="B650" s="2" t="str">
        <f>"V2079881084001"</f>
        <v>V2079881084001</v>
      </c>
      <c r="C650" s="2" t="s">
        <v>4738</v>
      </c>
      <c r="D650" s="2" t="s">
        <v>4739</v>
      </c>
      <c r="E650" s="2" t="s">
        <v>4163</v>
      </c>
      <c r="F650" s="2" t="s">
        <v>13</v>
      </c>
      <c r="H650" s="2">
        <v>2012</v>
      </c>
      <c r="I650" s="2" t="s">
        <v>4740</v>
      </c>
      <c r="J650" s="2" t="s">
        <v>15</v>
      </c>
      <c r="K650" s="2" t="s">
        <v>4741</v>
      </c>
    </row>
    <row r="651" spans="1:11" x14ac:dyDescent="0.25">
      <c r="A651" s="2" t="s">
        <v>2822</v>
      </c>
      <c r="B651" s="2" t="str">
        <f>"V2079862880001"</f>
        <v>V2079862880001</v>
      </c>
      <c r="C651" s="2" t="s">
        <v>4742</v>
      </c>
      <c r="D651" s="2" t="s">
        <v>4739</v>
      </c>
      <c r="E651" s="2" t="s">
        <v>4163</v>
      </c>
      <c r="F651" s="2" t="s">
        <v>13</v>
      </c>
      <c r="H651" s="2">
        <v>2012</v>
      </c>
      <c r="J651" s="2" t="s">
        <v>15</v>
      </c>
      <c r="K651" s="2" t="s">
        <v>4743</v>
      </c>
    </row>
    <row r="652" spans="1:11" x14ac:dyDescent="0.25">
      <c r="A652" s="2" t="s">
        <v>2822</v>
      </c>
      <c r="B652" s="2" t="str">
        <f>"V2079872832001"</f>
        <v>V2079872832001</v>
      </c>
      <c r="C652" s="2" t="s">
        <v>4744</v>
      </c>
      <c r="D652" s="2" t="s">
        <v>4739</v>
      </c>
      <c r="E652" s="2" t="s">
        <v>4163</v>
      </c>
      <c r="F652" s="2" t="s">
        <v>13</v>
      </c>
      <c r="H652" s="2">
        <v>2012</v>
      </c>
      <c r="I652" s="2" t="s">
        <v>4745</v>
      </c>
      <c r="J652" s="2" t="s">
        <v>15</v>
      </c>
      <c r="K652" s="2" t="s">
        <v>4746</v>
      </c>
    </row>
    <row r="653" spans="1:11" x14ac:dyDescent="0.25">
      <c r="A653" s="2" t="s">
        <v>2822</v>
      </c>
      <c r="B653" s="2" t="str">
        <f>"V2079860874001"</f>
        <v>V2079860874001</v>
      </c>
      <c r="C653" s="2" t="s">
        <v>4747</v>
      </c>
      <c r="D653" s="2" t="s">
        <v>4739</v>
      </c>
      <c r="E653" s="2" t="s">
        <v>4163</v>
      </c>
      <c r="F653" s="2" t="s">
        <v>13</v>
      </c>
      <c r="H653" s="2">
        <v>2012</v>
      </c>
      <c r="J653" s="2" t="s">
        <v>15</v>
      </c>
      <c r="K653" s="2" t="s">
        <v>4748</v>
      </c>
    </row>
    <row r="654" spans="1:11" x14ac:dyDescent="0.25">
      <c r="A654" s="2" t="s">
        <v>2822</v>
      </c>
      <c r="B654" s="2" t="str">
        <f>"V2079862879001"</f>
        <v>V2079862879001</v>
      </c>
      <c r="C654" s="2" t="s">
        <v>4749</v>
      </c>
      <c r="D654" s="2" t="s">
        <v>4739</v>
      </c>
      <c r="E654" s="2" t="s">
        <v>4163</v>
      </c>
      <c r="F654" s="2" t="s">
        <v>13</v>
      </c>
      <c r="H654" s="2">
        <v>2012</v>
      </c>
      <c r="J654" s="2" t="s">
        <v>15</v>
      </c>
      <c r="K654" s="2" t="s">
        <v>4750</v>
      </c>
    </row>
    <row r="655" spans="1:11" x14ac:dyDescent="0.25">
      <c r="A655" s="2" t="s">
        <v>2822</v>
      </c>
      <c r="B655" s="2" t="str">
        <f>"V2079872831001"</f>
        <v>V2079872831001</v>
      </c>
      <c r="C655" s="2" t="s">
        <v>4751</v>
      </c>
      <c r="D655" s="2" t="s">
        <v>4739</v>
      </c>
      <c r="E655" s="2" t="s">
        <v>4163</v>
      </c>
      <c r="F655" s="2" t="s">
        <v>13</v>
      </c>
      <c r="H655" s="2">
        <v>2012</v>
      </c>
      <c r="I655" s="2" t="s">
        <v>4752</v>
      </c>
      <c r="J655" s="2" t="s">
        <v>15</v>
      </c>
      <c r="K655" s="2" t="s">
        <v>4753</v>
      </c>
    </row>
    <row r="656" spans="1:11" x14ac:dyDescent="0.25">
      <c r="A656" s="2" t="s">
        <v>2822</v>
      </c>
      <c r="B656" s="2" t="str">
        <f>"V2079860873001"</f>
        <v>V2079860873001</v>
      </c>
      <c r="C656" s="2" t="s">
        <v>4754</v>
      </c>
      <c r="D656" s="2" t="s">
        <v>4739</v>
      </c>
      <c r="E656" s="2" t="s">
        <v>4163</v>
      </c>
      <c r="F656" s="2" t="s">
        <v>13</v>
      </c>
      <c r="H656" s="2">
        <v>2012</v>
      </c>
      <c r="I656" s="2" t="s">
        <v>4755</v>
      </c>
      <c r="J656" s="2" t="s">
        <v>15</v>
      </c>
      <c r="K656" s="2" t="s">
        <v>4756</v>
      </c>
    </row>
    <row r="657" spans="1:11" x14ac:dyDescent="0.25">
      <c r="A657" s="2" t="s">
        <v>2822</v>
      </c>
      <c r="B657" s="2" t="str">
        <f>"V2079862877001"</f>
        <v>V2079862877001</v>
      </c>
      <c r="C657" s="2" t="s">
        <v>4757</v>
      </c>
      <c r="D657" s="2" t="s">
        <v>4739</v>
      </c>
      <c r="E657" s="2" t="s">
        <v>4163</v>
      </c>
      <c r="F657" s="2" t="s">
        <v>13</v>
      </c>
      <c r="H657" s="2">
        <v>2012</v>
      </c>
      <c r="I657" s="2" t="s">
        <v>4758</v>
      </c>
      <c r="J657" s="2" t="s">
        <v>15</v>
      </c>
      <c r="K657" s="2" t="s">
        <v>4759</v>
      </c>
    </row>
    <row r="658" spans="1:11" x14ac:dyDescent="0.25">
      <c r="A658" s="2" t="s">
        <v>2822</v>
      </c>
      <c r="B658" s="2" t="str">
        <f>"V2079872830001"</f>
        <v>V2079872830001</v>
      </c>
      <c r="C658" s="2" t="s">
        <v>4760</v>
      </c>
      <c r="D658" s="2" t="s">
        <v>4739</v>
      </c>
      <c r="E658" s="2" t="s">
        <v>4163</v>
      </c>
      <c r="F658" s="2" t="s">
        <v>13</v>
      </c>
      <c r="H658" s="2">
        <v>2012</v>
      </c>
      <c r="I658" s="2" t="s">
        <v>4761</v>
      </c>
      <c r="J658" s="2" t="s">
        <v>15</v>
      </c>
      <c r="K658" s="2" t="s">
        <v>4762</v>
      </c>
    </row>
    <row r="659" spans="1:11" x14ac:dyDescent="0.25">
      <c r="A659" s="2" t="s">
        <v>2822</v>
      </c>
      <c r="B659" s="2" t="str">
        <f>"V2079860872001"</f>
        <v>V2079860872001</v>
      </c>
      <c r="C659" s="2" t="s">
        <v>4763</v>
      </c>
      <c r="D659" s="2" t="s">
        <v>4739</v>
      </c>
      <c r="E659" s="2" t="s">
        <v>4163</v>
      </c>
      <c r="F659" s="2" t="s">
        <v>13</v>
      </c>
      <c r="H659" s="2">
        <v>2012</v>
      </c>
      <c r="I659" s="2" t="s">
        <v>4764</v>
      </c>
      <c r="J659" s="2" t="s">
        <v>15</v>
      </c>
      <c r="K659" s="2" t="s">
        <v>4765</v>
      </c>
    </row>
    <row r="660" spans="1:11" x14ac:dyDescent="0.25">
      <c r="A660" s="2" t="s">
        <v>2822</v>
      </c>
      <c r="B660" s="2" t="str">
        <f>"V2079862885001"</f>
        <v>V2079862885001</v>
      </c>
      <c r="C660" s="2" t="s">
        <v>4766</v>
      </c>
      <c r="D660" s="2" t="s">
        <v>4739</v>
      </c>
      <c r="E660" s="2" t="s">
        <v>4163</v>
      </c>
      <c r="F660" s="2" t="s">
        <v>13</v>
      </c>
      <c r="H660" s="2">
        <v>2012</v>
      </c>
      <c r="J660" s="2" t="s">
        <v>15</v>
      </c>
      <c r="K660" s="2" t="s">
        <v>4767</v>
      </c>
    </row>
    <row r="661" spans="1:11" x14ac:dyDescent="0.25">
      <c r="A661" s="2" t="s">
        <v>2822</v>
      </c>
      <c r="B661" s="2" t="str">
        <f>"V2079872837001"</f>
        <v>V2079872837001</v>
      </c>
      <c r="C661" s="2" t="s">
        <v>4768</v>
      </c>
      <c r="D661" s="2" t="s">
        <v>4739</v>
      </c>
      <c r="E661" s="2" t="s">
        <v>4163</v>
      </c>
      <c r="F661" s="2" t="s">
        <v>13</v>
      </c>
      <c r="H661" s="2">
        <v>2012</v>
      </c>
      <c r="I661" s="2" t="s">
        <v>4740</v>
      </c>
      <c r="J661" s="2" t="s">
        <v>15</v>
      </c>
      <c r="K661" s="2" t="s">
        <v>4769</v>
      </c>
    </row>
    <row r="662" spans="1:11" x14ac:dyDescent="0.25">
      <c r="A662" s="2" t="s">
        <v>2822</v>
      </c>
      <c r="B662" s="2" t="str">
        <f>"V2079862884001"</f>
        <v>V2079862884001</v>
      </c>
      <c r="C662" s="2" t="s">
        <v>4770</v>
      </c>
      <c r="D662" s="2" t="s">
        <v>4739</v>
      </c>
      <c r="E662" s="2" t="s">
        <v>4163</v>
      </c>
      <c r="F662" s="2" t="s">
        <v>13</v>
      </c>
      <c r="H662" s="2">
        <v>2012</v>
      </c>
      <c r="I662" s="2" t="s">
        <v>4771</v>
      </c>
      <c r="J662" s="2" t="s">
        <v>15</v>
      </c>
      <c r="K662" s="2" t="s">
        <v>4772</v>
      </c>
    </row>
    <row r="663" spans="1:11" x14ac:dyDescent="0.25">
      <c r="A663" s="2" t="s">
        <v>2822</v>
      </c>
      <c r="B663" s="2" t="str">
        <f>"V2079881082001"</f>
        <v>V2079881082001</v>
      </c>
      <c r="C663" s="2" t="s">
        <v>4773</v>
      </c>
      <c r="D663" s="2" t="s">
        <v>4739</v>
      </c>
      <c r="E663" s="2" t="s">
        <v>4163</v>
      </c>
      <c r="F663" s="2" t="s">
        <v>13</v>
      </c>
      <c r="H663" s="2">
        <v>2012</v>
      </c>
      <c r="I663" s="2" t="s">
        <v>4774</v>
      </c>
      <c r="J663" s="2" t="s">
        <v>15</v>
      </c>
      <c r="K663" s="2" t="s">
        <v>4775</v>
      </c>
    </row>
    <row r="664" spans="1:11" x14ac:dyDescent="0.25">
      <c r="A664" s="2" t="s">
        <v>2822</v>
      </c>
      <c r="B664" s="2" t="str">
        <f>"V2079862883001"</f>
        <v>V2079862883001</v>
      </c>
      <c r="C664" s="2" t="s">
        <v>4776</v>
      </c>
      <c r="D664" s="2" t="s">
        <v>4739</v>
      </c>
      <c r="E664" s="2" t="s">
        <v>4163</v>
      </c>
      <c r="F664" s="2" t="s">
        <v>13</v>
      </c>
      <c r="H664" s="2">
        <v>2012</v>
      </c>
      <c r="I664" s="2" t="s">
        <v>4777</v>
      </c>
      <c r="J664" s="2" t="s">
        <v>15</v>
      </c>
      <c r="K664" s="2" t="s">
        <v>4778</v>
      </c>
    </row>
    <row r="665" spans="1:11" x14ac:dyDescent="0.25">
      <c r="A665" s="2" t="s">
        <v>2822</v>
      </c>
      <c r="B665" s="2" t="str">
        <f>"V2079860880001"</f>
        <v>V2079860880001</v>
      </c>
      <c r="C665" s="2" t="s">
        <v>4779</v>
      </c>
      <c r="D665" s="2" t="s">
        <v>4739</v>
      </c>
      <c r="E665" s="2" t="s">
        <v>4163</v>
      </c>
      <c r="F665" s="2" t="s">
        <v>13</v>
      </c>
      <c r="H665" s="2">
        <v>2012</v>
      </c>
      <c r="I665" s="2" t="s">
        <v>4758</v>
      </c>
      <c r="J665" s="2" t="s">
        <v>15</v>
      </c>
      <c r="K665" s="2" t="s">
        <v>4780</v>
      </c>
    </row>
    <row r="666" spans="1:11" x14ac:dyDescent="0.25">
      <c r="A666" s="2" t="s">
        <v>2822</v>
      </c>
      <c r="B666" s="2" t="str">
        <f>"V2079872836001"</f>
        <v>V2079872836001</v>
      </c>
      <c r="C666" s="2" t="s">
        <v>4781</v>
      </c>
      <c r="D666" s="2" t="s">
        <v>4739</v>
      </c>
      <c r="E666" s="2" t="s">
        <v>4163</v>
      </c>
      <c r="F666" s="2" t="s">
        <v>13</v>
      </c>
      <c r="H666" s="2">
        <v>2012</v>
      </c>
      <c r="I666" s="2" t="s">
        <v>4782</v>
      </c>
      <c r="J666" s="2" t="s">
        <v>15</v>
      </c>
      <c r="K666" s="2" t="s">
        <v>4783</v>
      </c>
    </row>
    <row r="667" spans="1:11" x14ac:dyDescent="0.25">
      <c r="A667" s="2" t="s">
        <v>2822</v>
      </c>
      <c r="B667" s="2" t="str">
        <f>"V2079860879001"</f>
        <v>V2079860879001</v>
      </c>
      <c r="C667" s="2" t="s">
        <v>4784</v>
      </c>
      <c r="D667" s="2" t="s">
        <v>4739</v>
      </c>
      <c r="E667" s="2" t="s">
        <v>4163</v>
      </c>
      <c r="F667" s="2" t="s">
        <v>13</v>
      </c>
      <c r="H667" s="2">
        <v>2012</v>
      </c>
      <c r="I667" s="2" t="s">
        <v>4758</v>
      </c>
      <c r="J667" s="2" t="s">
        <v>15</v>
      </c>
      <c r="K667" s="2" t="s">
        <v>4785</v>
      </c>
    </row>
    <row r="668" spans="1:11" x14ac:dyDescent="0.25">
      <c r="A668" s="2" t="s">
        <v>2822</v>
      </c>
      <c r="B668" s="2" t="str">
        <f>"V2079862882001"</f>
        <v>V2079862882001</v>
      </c>
      <c r="C668" s="2" t="s">
        <v>4786</v>
      </c>
      <c r="D668" s="2" t="s">
        <v>4739</v>
      </c>
      <c r="E668" s="2" t="s">
        <v>4163</v>
      </c>
      <c r="F668" s="2" t="s">
        <v>13</v>
      </c>
      <c r="H668" s="2">
        <v>2012</v>
      </c>
      <c r="I668" s="2" t="s">
        <v>4787</v>
      </c>
      <c r="J668" s="2" t="s">
        <v>15</v>
      </c>
      <c r="K668" s="2" t="s">
        <v>4788</v>
      </c>
    </row>
    <row r="669" spans="1:11" x14ac:dyDescent="0.25">
      <c r="A669" s="2" t="s">
        <v>2822</v>
      </c>
      <c r="B669" s="2" t="str">
        <f>"V2079872834001"</f>
        <v>V2079872834001</v>
      </c>
      <c r="C669" s="2" t="s">
        <v>4789</v>
      </c>
      <c r="D669" s="2" t="s">
        <v>4739</v>
      </c>
      <c r="E669" s="2" t="s">
        <v>4163</v>
      </c>
      <c r="F669" s="2" t="s">
        <v>13</v>
      </c>
      <c r="H669" s="2">
        <v>2012</v>
      </c>
      <c r="I669" s="2" t="s">
        <v>4790</v>
      </c>
      <c r="J669" s="2" t="s">
        <v>15</v>
      </c>
      <c r="K669" s="2" t="s">
        <v>4791</v>
      </c>
    </row>
    <row r="670" spans="1:11" x14ac:dyDescent="0.25">
      <c r="A670" s="2" t="s">
        <v>2822</v>
      </c>
      <c r="B670" s="2" t="str">
        <f>"V2079860877001"</f>
        <v>V2079860877001</v>
      </c>
      <c r="C670" s="2" t="s">
        <v>4792</v>
      </c>
      <c r="D670" s="2" t="s">
        <v>4739</v>
      </c>
      <c r="E670" s="2" t="s">
        <v>4163</v>
      </c>
      <c r="F670" s="2" t="s">
        <v>13</v>
      </c>
      <c r="H670" s="2">
        <v>2012</v>
      </c>
      <c r="I670" s="2" t="s">
        <v>4793</v>
      </c>
      <c r="J670" s="2" t="s">
        <v>15</v>
      </c>
      <c r="K670" s="2" t="s">
        <v>4794</v>
      </c>
    </row>
    <row r="671" spans="1:11" x14ac:dyDescent="0.25">
      <c r="A671" s="2" t="s">
        <v>2822</v>
      </c>
      <c r="B671" s="2" t="str">
        <f>"V2079862881001"</f>
        <v>V2079862881001</v>
      </c>
      <c r="C671" s="2" t="s">
        <v>4795</v>
      </c>
      <c r="D671" s="2" t="s">
        <v>4739</v>
      </c>
      <c r="E671" s="2" t="s">
        <v>4163</v>
      </c>
      <c r="F671" s="2" t="s">
        <v>13</v>
      </c>
      <c r="H671" s="2">
        <v>2012</v>
      </c>
      <c r="I671" s="2" t="s">
        <v>4796</v>
      </c>
      <c r="J671" s="2" t="s">
        <v>15</v>
      </c>
      <c r="K671" s="2" t="s">
        <v>4797</v>
      </c>
    </row>
    <row r="672" spans="1:11" x14ac:dyDescent="0.25">
      <c r="A672" s="2" t="s">
        <v>2822</v>
      </c>
      <c r="B672" s="2" t="str">
        <f>"V2079872833001"</f>
        <v>V2079872833001</v>
      </c>
      <c r="C672" s="2" t="s">
        <v>4798</v>
      </c>
      <c r="D672" s="2" t="s">
        <v>4739</v>
      </c>
      <c r="E672" s="2" t="s">
        <v>4163</v>
      </c>
      <c r="F672" s="2" t="s">
        <v>13</v>
      </c>
      <c r="H672" s="2">
        <v>2012</v>
      </c>
      <c r="I672" s="2" t="s">
        <v>4799</v>
      </c>
      <c r="J672" s="2" t="s">
        <v>15</v>
      </c>
      <c r="K672" s="2" t="s">
        <v>4800</v>
      </c>
    </row>
    <row r="673" spans="1:11" x14ac:dyDescent="0.25">
      <c r="A673" s="2" t="s">
        <v>2822</v>
      </c>
      <c r="B673" s="2" t="str">
        <f>"V2079862875001"</f>
        <v>V2079862875001</v>
      </c>
      <c r="C673" s="2" t="s">
        <v>4801</v>
      </c>
      <c r="D673" s="2" t="s">
        <v>4739</v>
      </c>
      <c r="E673" s="2" t="s">
        <v>4163</v>
      </c>
      <c r="F673" s="2" t="s">
        <v>13</v>
      </c>
      <c r="H673" s="2">
        <v>2012</v>
      </c>
      <c r="I673" s="2" t="s">
        <v>4802</v>
      </c>
      <c r="J673" s="2" t="s">
        <v>15</v>
      </c>
      <c r="K673" s="2" t="s">
        <v>4803</v>
      </c>
    </row>
    <row r="674" spans="1:11" x14ac:dyDescent="0.25">
      <c r="A674" s="2" t="s">
        <v>2822</v>
      </c>
      <c r="B674" s="2" t="str">
        <f>"V2079860875001"</f>
        <v>V2079860875001</v>
      </c>
      <c r="C674" s="2" t="s">
        <v>4804</v>
      </c>
      <c r="D674" s="2" t="s">
        <v>4739</v>
      </c>
      <c r="E674" s="2" t="s">
        <v>4163</v>
      </c>
      <c r="F674" s="2" t="s">
        <v>13</v>
      </c>
      <c r="H674" s="2">
        <v>2012</v>
      </c>
      <c r="I674" s="2" t="s">
        <v>4805</v>
      </c>
      <c r="J674" s="2" t="s">
        <v>15</v>
      </c>
      <c r="K674" s="2" t="s">
        <v>4806</v>
      </c>
    </row>
    <row r="675" spans="1:11" x14ac:dyDescent="0.25">
      <c r="A675" s="2" t="s">
        <v>2822</v>
      </c>
      <c r="B675" s="2" t="str">
        <f>"V2079687218001"</f>
        <v>V2079687218001</v>
      </c>
      <c r="C675" s="2" t="s">
        <v>4807</v>
      </c>
      <c r="D675" s="2" t="s">
        <v>4808</v>
      </c>
      <c r="E675" s="2" t="s">
        <v>4163</v>
      </c>
      <c r="F675" s="2" t="s">
        <v>13</v>
      </c>
      <c r="H675" s="2">
        <v>2012</v>
      </c>
      <c r="I675" s="2" t="s">
        <v>4809</v>
      </c>
      <c r="J675" s="2" t="s">
        <v>15</v>
      </c>
      <c r="K675" s="2" t="s">
        <v>4810</v>
      </c>
    </row>
    <row r="676" spans="1:11" x14ac:dyDescent="0.25">
      <c r="A676" s="2" t="s">
        <v>2822</v>
      </c>
      <c r="B676" s="2" t="str">
        <f>"V2079718297001"</f>
        <v>V2079718297001</v>
      </c>
      <c r="C676" s="2" t="s">
        <v>4811</v>
      </c>
      <c r="D676" s="2" t="s">
        <v>4808</v>
      </c>
      <c r="E676" s="2" t="s">
        <v>4163</v>
      </c>
      <c r="F676" s="2" t="s">
        <v>13</v>
      </c>
      <c r="H676" s="2">
        <v>2012</v>
      </c>
      <c r="I676" s="2" t="s">
        <v>4812</v>
      </c>
      <c r="J676" s="2" t="s">
        <v>15</v>
      </c>
      <c r="K676" s="2" t="s">
        <v>4813</v>
      </c>
    </row>
    <row r="677" spans="1:11" x14ac:dyDescent="0.25">
      <c r="A677" s="2" t="s">
        <v>2822</v>
      </c>
      <c r="B677" s="2" t="str">
        <f>"V2079687211001"</f>
        <v>V2079687211001</v>
      </c>
      <c r="C677" s="2" t="s">
        <v>4814</v>
      </c>
      <c r="D677" s="2" t="s">
        <v>4808</v>
      </c>
      <c r="E677" s="2" t="s">
        <v>4163</v>
      </c>
      <c r="F677" s="2" t="s">
        <v>13</v>
      </c>
      <c r="H677" s="2">
        <v>2012</v>
      </c>
      <c r="I677" s="2" t="s">
        <v>4815</v>
      </c>
      <c r="J677" s="2" t="s">
        <v>15</v>
      </c>
      <c r="K677" s="2" t="s">
        <v>4816</v>
      </c>
    </row>
    <row r="678" spans="1:11" x14ac:dyDescent="0.25">
      <c r="A678" s="2" t="s">
        <v>2822</v>
      </c>
      <c r="B678" s="2" t="str">
        <f>"V2079718281001"</f>
        <v>V2079718281001</v>
      </c>
      <c r="C678" s="2" t="s">
        <v>4817</v>
      </c>
      <c r="D678" s="2" t="s">
        <v>4808</v>
      </c>
      <c r="E678" s="2" t="s">
        <v>4163</v>
      </c>
      <c r="F678" s="2" t="s">
        <v>13</v>
      </c>
      <c r="H678" s="2">
        <v>2012</v>
      </c>
      <c r="I678" s="2" t="s">
        <v>4818</v>
      </c>
      <c r="J678" s="2" t="s">
        <v>15</v>
      </c>
      <c r="K678" s="2" t="s">
        <v>4819</v>
      </c>
    </row>
    <row r="679" spans="1:11" x14ac:dyDescent="0.25">
      <c r="A679" s="2" t="s">
        <v>2822</v>
      </c>
      <c r="B679" s="2" t="str">
        <f>"V2079655950001"</f>
        <v>V2079655950001</v>
      </c>
      <c r="C679" s="2" t="s">
        <v>4820</v>
      </c>
      <c r="D679" s="2" t="s">
        <v>4808</v>
      </c>
      <c r="E679" s="2" t="s">
        <v>4163</v>
      </c>
      <c r="F679" s="2" t="s">
        <v>13</v>
      </c>
      <c r="H679" s="2">
        <v>2012</v>
      </c>
      <c r="I679" s="2" t="s">
        <v>4821</v>
      </c>
      <c r="J679" s="2" t="s">
        <v>15</v>
      </c>
      <c r="K679" s="2" t="s">
        <v>4822</v>
      </c>
    </row>
    <row r="680" spans="1:11" x14ac:dyDescent="0.25">
      <c r="A680" s="2" t="s">
        <v>2822</v>
      </c>
      <c r="B680" s="2" t="str">
        <f>"V2079687210001"</f>
        <v>V2079687210001</v>
      </c>
      <c r="C680" s="2" t="s">
        <v>4823</v>
      </c>
      <c r="D680" s="2" t="s">
        <v>4808</v>
      </c>
      <c r="E680" s="2" t="s">
        <v>4163</v>
      </c>
      <c r="F680" s="2" t="s">
        <v>13</v>
      </c>
      <c r="H680" s="2">
        <v>2012</v>
      </c>
      <c r="I680" s="2" t="s">
        <v>2474</v>
      </c>
      <c r="J680" s="2" t="s">
        <v>15</v>
      </c>
      <c r="K680" s="2" t="s">
        <v>4824</v>
      </c>
    </row>
    <row r="681" spans="1:11" x14ac:dyDescent="0.25">
      <c r="A681" s="2" t="s">
        <v>2822</v>
      </c>
      <c r="B681" s="2" t="str">
        <f>"V2079718280001"</f>
        <v>V2079718280001</v>
      </c>
      <c r="C681" s="2" t="s">
        <v>4825</v>
      </c>
      <c r="D681" s="2" t="s">
        <v>4808</v>
      </c>
      <c r="E681" s="2" t="s">
        <v>4163</v>
      </c>
      <c r="F681" s="2" t="s">
        <v>13</v>
      </c>
      <c r="H681" s="2">
        <v>2012</v>
      </c>
      <c r="I681" s="2" t="s">
        <v>4826</v>
      </c>
      <c r="J681" s="2" t="s">
        <v>15</v>
      </c>
      <c r="K681" s="2" t="s">
        <v>4827</v>
      </c>
    </row>
    <row r="682" spans="1:11" x14ac:dyDescent="0.25">
      <c r="A682" s="2" t="s">
        <v>2822</v>
      </c>
      <c r="B682" s="2" t="str">
        <f>"V2079728781001"</f>
        <v>V2079728781001</v>
      </c>
      <c r="C682" s="2" t="s">
        <v>4828</v>
      </c>
      <c r="D682" s="2" t="s">
        <v>4808</v>
      </c>
      <c r="E682" s="2" t="s">
        <v>4163</v>
      </c>
      <c r="F682" s="2" t="s">
        <v>13</v>
      </c>
      <c r="H682" s="2">
        <v>2012</v>
      </c>
      <c r="I682" s="2" t="s">
        <v>4829</v>
      </c>
      <c r="J682" s="2" t="s">
        <v>15</v>
      </c>
      <c r="K682" s="2" t="s">
        <v>4830</v>
      </c>
    </row>
    <row r="683" spans="1:11" x14ac:dyDescent="0.25">
      <c r="A683" s="2" t="s">
        <v>2822</v>
      </c>
      <c r="B683" s="2" t="str">
        <f>"V2079687217001"</f>
        <v>V2079687217001</v>
      </c>
      <c r="C683" s="2" t="s">
        <v>4831</v>
      </c>
      <c r="D683" s="2" t="s">
        <v>4808</v>
      </c>
      <c r="E683" s="2" t="s">
        <v>4163</v>
      </c>
      <c r="F683" s="2" t="s">
        <v>13</v>
      </c>
      <c r="H683" s="2">
        <v>2012</v>
      </c>
      <c r="I683" s="2" t="s">
        <v>4821</v>
      </c>
      <c r="J683" s="2" t="s">
        <v>15</v>
      </c>
      <c r="K683" s="2" t="s">
        <v>4832</v>
      </c>
    </row>
    <row r="684" spans="1:11" x14ac:dyDescent="0.25">
      <c r="A684" s="2" t="s">
        <v>2822</v>
      </c>
      <c r="B684" s="2" t="str">
        <f>"V2079718296001"</f>
        <v>V2079718296001</v>
      </c>
      <c r="C684" s="2" t="s">
        <v>4833</v>
      </c>
      <c r="D684" s="2" t="s">
        <v>4808</v>
      </c>
      <c r="E684" s="2" t="s">
        <v>4163</v>
      </c>
      <c r="F684" s="2" t="s">
        <v>13</v>
      </c>
      <c r="H684" s="2">
        <v>2012</v>
      </c>
      <c r="I684" s="2" t="s">
        <v>4834</v>
      </c>
      <c r="J684" s="2" t="s">
        <v>15</v>
      </c>
      <c r="K684" s="2" t="s">
        <v>4835</v>
      </c>
    </row>
    <row r="685" spans="1:11" x14ac:dyDescent="0.25">
      <c r="A685" s="2" t="s">
        <v>2822</v>
      </c>
      <c r="B685" s="2" t="str">
        <f>"V2079728780001"</f>
        <v>V2079728780001</v>
      </c>
      <c r="C685" s="2" t="s">
        <v>4836</v>
      </c>
      <c r="D685" s="2" t="s">
        <v>4808</v>
      </c>
      <c r="E685" s="2" t="s">
        <v>4163</v>
      </c>
      <c r="F685" s="2" t="s">
        <v>13</v>
      </c>
      <c r="H685" s="2">
        <v>2012</v>
      </c>
      <c r="I685" s="2" t="s">
        <v>2474</v>
      </c>
      <c r="J685" s="2" t="s">
        <v>15</v>
      </c>
      <c r="K685" s="2" t="s">
        <v>4837</v>
      </c>
    </row>
    <row r="686" spans="1:11" x14ac:dyDescent="0.25">
      <c r="A686" s="2" t="s">
        <v>2822</v>
      </c>
      <c r="B686" s="2" t="str">
        <f>"V2079687216001"</f>
        <v>V2079687216001</v>
      </c>
      <c r="C686" s="2" t="s">
        <v>4838</v>
      </c>
      <c r="D686" s="2" t="s">
        <v>4808</v>
      </c>
      <c r="E686" s="2" t="s">
        <v>4163</v>
      </c>
      <c r="F686" s="2" t="s">
        <v>13</v>
      </c>
      <c r="H686" s="2">
        <v>2012</v>
      </c>
      <c r="I686" s="2" t="s">
        <v>4839</v>
      </c>
      <c r="J686" s="2" t="s">
        <v>15</v>
      </c>
      <c r="K686" s="2" t="s">
        <v>4840</v>
      </c>
    </row>
    <row r="687" spans="1:11" x14ac:dyDescent="0.25">
      <c r="A687" s="2" t="s">
        <v>2822</v>
      </c>
      <c r="B687" s="2" t="str">
        <f>"V2079718292001"</f>
        <v>V2079718292001</v>
      </c>
      <c r="C687" s="2" t="s">
        <v>4841</v>
      </c>
      <c r="D687" s="2" t="s">
        <v>4808</v>
      </c>
      <c r="E687" s="2" t="s">
        <v>4163</v>
      </c>
      <c r="F687" s="2" t="s">
        <v>13</v>
      </c>
      <c r="H687" s="2">
        <v>2012</v>
      </c>
      <c r="I687" s="2" t="s">
        <v>4821</v>
      </c>
      <c r="J687" s="2" t="s">
        <v>15</v>
      </c>
      <c r="K687" s="2" t="s">
        <v>4842</v>
      </c>
    </row>
    <row r="688" spans="1:11" x14ac:dyDescent="0.25">
      <c r="A688" s="2" t="s">
        <v>2822</v>
      </c>
      <c r="B688" s="2" t="str">
        <f>"V2079718294001"</f>
        <v>V2079718294001</v>
      </c>
      <c r="C688" s="2" t="s">
        <v>4843</v>
      </c>
      <c r="D688" s="2" t="s">
        <v>4808</v>
      </c>
      <c r="E688" s="2" t="s">
        <v>4163</v>
      </c>
      <c r="F688" s="2" t="s">
        <v>13</v>
      </c>
      <c r="H688" s="2">
        <v>2012</v>
      </c>
      <c r="I688" s="2" t="s">
        <v>4844</v>
      </c>
      <c r="J688" s="2" t="s">
        <v>15</v>
      </c>
      <c r="K688" s="2" t="s">
        <v>4845</v>
      </c>
    </row>
    <row r="689" spans="1:11" x14ac:dyDescent="0.25">
      <c r="A689" s="2" t="s">
        <v>2822</v>
      </c>
      <c r="B689" s="2" t="str">
        <f>"V2079728779001"</f>
        <v>V2079728779001</v>
      </c>
      <c r="C689" s="2" t="s">
        <v>4846</v>
      </c>
      <c r="D689" s="2" t="s">
        <v>4808</v>
      </c>
      <c r="E689" s="2" t="s">
        <v>4163</v>
      </c>
      <c r="F689" s="2" t="s">
        <v>13</v>
      </c>
      <c r="H689" s="2">
        <v>2012</v>
      </c>
      <c r="I689" s="2" t="s">
        <v>4847</v>
      </c>
      <c r="J689" s="2" t="s">
        <v>15</v>
      </c>
      <c r="K689" s="2" t="s">
        <v>4848</v>
      </c>
    </row>
    <row r="690" spans="1:11" x14ac:dyDescent="0.25">
      <c r="A690" s="2" t="s">
        <v>2822</v>
      </c>
      <c r="B690" s="2" t="str">
        <f>"V2079728778001"</f>
        <v>V2079728778001</v>
      </c>
      <c r="C690" s="2" t="s">
        <v>4849</v>
      </c>
      <c r="D690" s="2" t="s">
        <v>4808</v>
      </c>
      <c r="E690" s="2" t="s">
        <v>4163</v>
      </c>
      <c r="F690" s="2" t="s">
        <v>13</v>
      </c>
      <c r="H690" s="2">
        <v>2012</v>
      </c>
      <c r="I690" s="2" t="s">
        <v>4850</v>
      </c>
      <c r="J690" s="2" t="s">
        <v>15</v>
      </c>
      <c r="K690" s="2" t="s">
        <v>4851</v>
      </c>
    </row>
    <row r="691" spans="1:11" x14ac:dyDescent="0.25">
      <c r="A691" s="2" t="s">
        <v>2822</v>
      </c>
      <c r="B691" s="2" t="str">
        <f>"V2079687214001"</f>
        <v>V2079687214001</v>
      </c>
      <c r="C691" s="2" t="s">
        <v>4852</v>
      </c>
      <c r="D691" s="2" t="s">
        <v>4808</v>
      </c>
      <c r="E691" s="2" t="s">
        <v>4163</v>
      </c>
      <c r="F691" s="2" t="s">
        <v>13</v>
      </c>
      <c r="H691" s="2">
        <v>2012</v>
      </c>
      <c r="I691" s="2" t="s">
        <v>4853</v>
      </c>
      <c r="J691" s="2" t="s">
        <v>15</v>
      </c>
      <c r="K691" s="2" t="s">
        <v>4854</v>
      </c>
    </row>
    <row r="692" spans="1:11" x14ac:dyDescent="0.25">
      <c r="A692" s="2" t="s">
        <v>2822</v>
      </c>
      <c r="B692" s="2" t="str">
        <f>"V2079718288001"</f>
        <v>V2079718288001</v>
      </c>
      <c r="C692" s="2" t="s">
        <v>4855</v>
      </c>
      <c r="D692" s="2" t="s">
        <v>4808</v>
      </c>
      <c r="E692" s="2" t="s">
        <v>4163</v>
      </c>
      <c r="F692" s="2" t="s">
        <v>13</v>
      </c>
      <c r="H692" s="2">
        <v>2012</v>
      </c>
      <c r="I692" s="2" t="s">
        <v>4856</v>
      </c>
      <c r="J692" s="2" t="s">
        <v>15</v>
      </c>
      <c r="K692" s="2" t="s">
        <v>4857</v>
      </c>
    </row>
    <row r="693" spans="1:11" x14ac:dyDescent="0.25">
      <c r="A693" s="2" t="s">
        <v>2822</v>
      </c>
      <c r="B693" s="2" t="str">
        <f>"V2079728776001"</f>
        <v>V2079728776001</v>
      </c>
      <c r="C693" s="2" t="s">
        <v>4858</v>
      </c>
      <c r="D693" s="2" t="s">
        <v>4808</v>
      </c>
      <c r="E693" s="2" t="s">
        <v>4163</v>
      </c>
      <c r="F693" s="2" t="s">
        <v>13</v>
      </c>
      <c r="H693" s="2">
        <v>2012</v>
      </c>
      <c r="I693" s="2" t="s">
        <v>4859</v>
      </c>
      <c r="J693" s="2" t="s">
        <v>15</v>
      </c>
      <c r="K693" s="2" t="s">
        <v>4860</v>
      </c>
    </row>
    <row r="694" spans="1:11" x14ac:dyDescent="0.25">
      <c r="A694" s="2" t="s">
        <v>2822</v>
      </c>
      <c r="B694" s="2" t="str">
        <f>"V2079687213001"</f>
        <v>V2079687213001</v>
      </c>
      <c r="C694" s="2" t="s">
        <v>4861</v>
      </c>
      <c r="D694" s="2" t="s">
        <v>4808</v>
      </c>
      <c r="E694" s="2" t="s">
        <v>4163</v>
      </c>
      <c r="F694" s="2" t="s">
        <v>13</v>
      </c>
      <c r="H694" s="2">
        <v>2012</v>
      </c>
      <c r="I694" s="2" t="s">
        <v>4862</v>
      </c>
      <c r="J694" s="2" t="s">
        <v>15</v>
      </c>
      <c r="K694" s="2" t="s">
        <v>4863</v>
      </c>
    </row>
    <row r="695" spans="1:11" x14ac:dyDescent="0.25">
      <c r="A695" s="2" t="s">
        <v>2822</v>
      </c>
      <c r="B695" s="2" t="str">
        <f>"V2079718285001"</f>
        <v>V2079718285001</v>
      </c>
      <c r="C695" s="2" t="s">
        <v>4864</v>
      </c>
      <c r="D695" s="2" t="s">
        <v>4808</v>
      </c>
      <c r="E695" s="2" t="s">
        <v>4163</v>
      </c>
      <c r="F695" s="2" t="s">
        <v>13</v>
      </c>
      <c r="H695" s="2">
        <v>2012</v>
      </c>
      <c r="I695" s="2" t="s">
        <v>4865</v>
      </c>
      <c r="J695" s="2" t="s">
        <v>15</v>
      </c>
      <c r="K695" s="2" t="s">
        <v>4866</v>
      </c>
    </row>
    <row r="696" spans="1:11" x14ac:dyDescent="0.25">
      <c r="A696" s="2" t="s">
        <v>2822</v>
      </c>
      <c r="B696" s="2" t="str">
        <f>"V2079728774001"</f>
        <v>V2079728774001</v>
      </c>
      <c r="C696" s="2" t="s">
        <v>4867</v>
      </c>
      <c r="D696" s="2" t="s">
        <v>4808</v>
      </c>
      <c r="E696" s="2" t="s">
        <v>4163</v>
      </c>
      <c r="F696" s="2" t="s">
        <v>13</v>
      </c>
      <c r="H696" s="2">
        <v>2012</v>
      </c>
      <c r="I696" s="2" t="s">
        <v>2474</v>
      </c>
      <c r="J696" s="2" t="s">
        <v>15</v>
      </c>
      <c r="K696" s="2" t="s">
        <v>4868</v>
      </c>
    </row>
    <row r="697" spans="1:11" x14ac:dyDescent="0.25">
      <c r="A697" s="2" t="s">
        <v>2822</v>
      </c>
      <c r="B697" s="2" t="str">
        <f>"V2079687212001"</f>
        <v>V2079687212001</v>
      </c>
      <c r="C697" s="2" t="s">
        <v>4869</v>
      </c>
      <c r="D697" s="2" t="s">
        <v>4808</v>
      </c>
      <c r="E697" s="2" t="s">
        <v>4163</v>
      </c>
      <c r="F697" s="2" t="s">
        <v>13</v>
      </c>
      <c r="H697" s="2">
        <v>2012</v>
      </c>
      <c r="I697" s="2" t="s">
        <v>4870</v>
      </c>
      <c r="J697" s="2" t="s">
        <v>15</v>
      </c>
      <c r="K697" s="2" t="s">
        <v>4871</v>
      </c>
    </row>
    <row r="698" spans="1:11" x14ac:dyDescent="0.25">
      <c r="A698" s="2" t="s">
        <v>2822</v>
      </c>
      <c r="B698" s="2" t="str">
        <f>"V2079718284001"</f>
        <v>V2079718284001</v>
      </c>
      <c r="C698" s="2" t="s">
        <v>4872</v>
      </c>
      <c r="D698" s="2" t="s">
        <v>4808</v>
      </c>
      <c r="E698" s="2" t="s">
        <v>4163</v>
      </c>
      <c r="F698" s="2" t="s">
        <v>13</v>
      </c>
      <c r="H698" s="2">
        <v>2012</v>
      </c>
      <c r="I698" s="2" t="s">
        <v>4873</v>
      </c>
      <c r="J698" s="2" t="s">
        <v>15</v>
      </c>
      <c r="K698" s="2" t="s">
        <v>4874</v>
      </c>
    </row>
    <row r="699" spans="1:11" x14ac:dyDescent="0.25">
      <c r="A699" s="2" t="s">
        <v>2822</v>
      </c>
      <c r="B699" s="2" t="str">
        <f>"V2079655952001"</f>
        <v>V2079655952001</v>
      </c>
      <c r="C699" s="2" t="s">
        <v>4875</v>
      </c>
      <c r="D699" s="2" t="s">
        <v>4808</v>
      </c>
      <c r="E699" s="2" t="s">
        <v>4163</v>
      </c>
      <c r="F699" s="2" t="s">
        <v>13</v>
      </c>
      <c r="H699" s="2">
        <v>2012</v>
      </c>
      <c r="I699" s="2" t="s">
        <v>4876</v>
      </c>
      <c r="J699" s="2" t="s">
        <v>15</v>
      </c>
      <c r="K699" s="2" t="s">
        <v>4877</v>
      </c>
    </row>
    <row r="700" spans="1:11" x14ac:dyDescent="0.25">
      <c r="A700" s="2" t="s">
        <v>2822</v>
      </c>
      <c r="B700" s="2" t="str">
        <f>"V2630022189001"</f>
        <v>V2630022189001</v>
      </c>
      <c r="C700" s="2" t="s">
        <v>4878</v>
      </c>
      <c r="D700" s="2" t="s">
        <v>4879</v>
      </c>
      <c r="E700" s="2" t="s">
        <v>4546</v>
      </c>
      <c r="F700" s="2" t="s">
        <v>13</v>
      </c>
      <c r="H700" s="2">
        <v>2013</v>
      </c>
      <c r="I700" s="2" t="s">
        <v>4880</v>
      </c>
      <c r="J700" s="2" t="s">
        <v>15</v>
      </c>
      <c r="K700" s="2" t="s">
        <v>4881</v>
      </c>
    </row>
    <row r="701" spans="1:11" x14ac:dyDescent="0.25">
      <c r="A701" s="2" t="s">
        <v>2822</v>
      </c>
      <c r="B701" s="2" t="str">
        <f>"V2630022190001"</f>
        <v>V2630022190001</v>
      </c>
      <c r="C701" s="2" t="s">
        <v>4882</v>
      </c>
      <c r="D701" s="2" t="s">
        <v>4879</v>
      </c>
      <c r="E701" s="2" t="s">
        <v>4546</v>
      </c>
      <c r="F701" s="2" t="s">
        <v>13</v>
      </c>
      <c r="H701" s="2">
        <v>2013</v>
      </c>
      <c r="I701" s="2" t="s">
        <v>4883</v>
      </c>
      <c r="J701" s="2" t="s">
        <v>15</v>
      </c>
      <c r="K701" s="2" t="s">
        <v>4884</v>
      </c>
    </row>
    <row r="702" spans="1:11" x14ac:dyDescent="0.25">
      <c r="A702" s="2" t="s">
        <v>2822</v>
      </c>
      <c r="B702" s="2" t="str">
        <f>"V2630022191001"</f>
        <v>V2630022191001</v>
      </c>
      <c r="C702" s="2" t="s">
        <v>4885</v>
      </c>
      <c r="D702" s="2" t="s">
        <v>4879</v>
      </c>
      <c r="E702" s="2" t="s">
        <v>4546</v>
      </c>
      <c r="F702" s="2" t="s">
        <v>13</v>
      </c>
      <c r="H702" s="2">
        <v>2013</v>
      </c>
      <c r="I702" s="2" t="s">
        <v>4886</v>
      </c>
      <c r="J702" s="2" t="s">
        <v>15</v>
      </c>
      <c r="K702" s="2" t="s">
        <v>4887</v>
      </c>
    </row>
    <row r="703" spans="1:11" x14ac:dyDescent="0.25">
      <c r="A703" s="2" t="s">
        <v>2822</v>
      </c>
      <c r="B703" s="2" t="str">
        <f>"V2630022192001"</f>
        <v>V2630022192001</v>
      </c>
      <c r="C703" s="2" t="s">
        <v>4888</v>
      </c>
      <c r="D703" s="2" t="s">
        <v>4879</v>
      </c>
      <c r="E703" s="2" t="s">
        <v>4546</v>
      </c>
      <c r="F703" s="2" t="s">
        <v>13</v>
      </c>
      <c r="H703" s="2">
        <v>2013</v>
      </c>
      <c r="I703" s="2" t="s">
        <v>4889</v>
      </c>
      <c r="J703" s="2" t="s">
        <v>15</v>
      </c>
      <c r="K703" s="2" t="s">
        <v>4890</v>
      </c>
    </row>
    <row r="704" spans="1:11" x14ac:dyDescent="0.25">
      <c r="A704" s="2" t="s">
        <v>2822</v>
      </c>
      <c r="B704" s="2" t="str">
        <f>"V2630022193001"</f>
        <v>V2630022193001</v>
      </c>
      <c r="C704" s="2" t="s">
        <v>4891</v>
      </c>
      <c r="D704" s="2" t="s">
        <v>4879</v>
      </c>
      <c r="E704" s="2" t="s">
        <v>4546</v>
      </c>
      <c r="F704" s="2" t="s">
        <v>13</v>
      </c>
      <c r="H704" s="2">
        <v>2013</v>
      </c>
      <c r="I704" s="2" t="s">
        <v>4892</v>
      </c>
      <c r="J704" s="2" t="s">
        <v>15</v>
      </c>
      <c r="K704" s="2" t="s">
        <v>4893</v>
      </c>
    </row>
    <row r="705" spans="1:11" x14ac:dyDescent="0.25">
      <c r="A705" s="2" t="s">
        <v>2822</v>
      </c>
      <c r="B705" s="2" t="str">
        <f>"V2630022194001"</f>
        <v>V2630022194001</v>
      </c>
      <c r="C705" s="2" t="s">
        <v>4894</v>
      </c>
      <c r="D705" s="2" t="s">
        <v>4879</v>
      </c>
      <c r="E705" s="2" t="s">
        <v>4546</v>
      </c>
      <c r="F705" s="2" t="s">
        <v>13</v>
      </c>
      <c r="H705" s="2">
        <v>2013</v>
      </c>
      <c r="I705" s="2" t="s">
        <v>4895</v>
      </c>
      <c r="J705" s="2" t="s">
        <v>15</v>
      </c>
      <c r="K705" s="2" t="s">
        <v>4896</v>
      </c>
    </row>
    <row r="706" spans="1:11" x14ac:dyDescent="0.25">
      <c r="A706" s="2" t="s">
        <v>2822</v>
      </c>
      <c r="B706" s="2" t="str">
        <f>"V2630022195001"</f>
        <v>V2630022195001</v>
      </c>
      <c r="C706" s="2" t="s">
        <v>4897</v>
      </c>
      <c r="D706" s="2" t="s">
        <v>4879</v>
      </c>
      <c r="E706" s="2" t="s">
        <v>4546</v>
      </c>
      <c r="F706" s="2" t="s">
        <v>13</v>
      </c>
      <c r="H706" s="2">
        <v>2013</v>
      </c>
      <c r="I706" s="2" t="s">
        <v>4898</v>
      </c>
      <c r="J706" s="2" t="s">
        <v>15</v>
      </c>
      <c r="K706" s="2" t="s">
        <v>4899</v>
      </c>
    </row>
    <row r="707" spans="1:11" x14ac:dyDescent="0.25">
      <c r="A707" s="2" t="s">
        <v>2822</v>
      </c>
      <c r="B707" s="2" t="str">
        <f>"V2630022196001"</f>
        <v>V2630022196001</v>
      </c>
      <c r="C707" s="2" t="s">
        <v>4900</v>
      </c>
      <c r="D707" s="2" t="s">
        <v>4879</v>
      </c>
      <c r="E707" s="2" t="s">
        <v>4546</v>
      </c>
      <c r="F707" s="2" t="s">
        <v>13</v>
      </c>
      <c r="H707" s="2">
        <v>2013</v>
      </c>
      <c r="I707" s="2" t="s">
        <v>4901</v>
      </c>
      <c r="J707" s="2" t="s">
        <v>15</v>
      </c>
      <c r="K707" s="2" t="s">
        <v>4902</v>
      </c>
    </row>
    <row r="708" spans="1:11" x14ac:dyDescent="0.25">
      <c r="A708" s="2" t="s">
        <v>2822</v>
      </c>
      <c r="B708" s="2" t="str">
        <f>"V2630022197001"</f>
        <v>V2630022197001</v>
      </c>
      <c r="C708" s="2" t="s">
        <v>4903</v>
      </c>
      <c r="D708" s="2" t="s">
        <v>4879</v>
      </c>
      <c r="E708" s="2" t="s">
        <v>4546</v>
      </c>
      <c r="F708" s="2" t="s">
        <v>13</v>
      </c>
      <c r="H708" s="2">
        <v>2013</v>
      </c>
      <c r="I708" s="2" t="s">
        <v>4904</v>
      </c>
      <c r="J708" s="2" t="s">
        <v>15</v>
      </c>
      <c r="K708" s="2" t="s">
        <v>4905</v>
      </c>
    </row>
    <row r="709" spans="1:11" x14ac:dyDescent="0.25">
      <c r="A709" s="2" t="s">
        <v>2822</v>
      </c>
      <c r="B709" s="2" t="str">
        <f>"V2630022198001"</f>
        <v>V2630022198001</v>
      </c>
      <c r="C709" s="2" t="s">
        <v>4906</v>
      </c>
      <c r="D709" s="2" t="s">
        <v>4879</v>
      </c>
      <c r="E709" s="2" t="s">
        <v>4546</v>
      </c>
      <c r="F709" s="2" t="s">
        <v>13</v>
      </c>
      <c r="H709" s="2">
        <v>2013</v>
      </c>
      <c r="I709" s="2" t="s">
        <v>4907</v>
      </c>
      <c r="J709" s="2" t="s">
        <v>15</v>
      </c>
      <c r="K709" s="2" t="s">
        <v>4908</v>
      </c>
    </row>
    <row r="710" spans="1:11" x14ac:dyDescent="0.25">
      <c r="A710" s="2" t="s">
        <v>2822</v>
      </c>
      <c r="B710" s="2" t="str">
        <f>"V2630022199001"</f>
        <v>V2630022199001</v>
      </c>
      <c r="C710" s="2" t="s">
        <v>4909</v>
      </c>
      <c r="D710" s="2" t="s">
        <v>4879</v>
      </c>
      <c r="E710" s="2" t="s">
        <v>4546</v>
      </c>
      <c r="F710" s="2" t="s">
        <v>13</v>
      </c>
      <c r="H710" s="2">
        <v>2013</v>
      </c>
      <c r="I710" s="2" t="s">
        <v>4910</v>
      </c>
      <c r="J710" s="2" t="s">
        <v>15</v>
      </c>
      <c r="K710" s="2" t="s">
        <v>4911</v>
      </c>
    </row>
    <row r="711" spans="1:11" x14ac:dyDescent="0.25">
      <c r="A711" s="2" t="s">
        <v>2822</v>
      </c>
      <c r="B711" s="2" t="str">
        <f>"V2630022175001"</f>
        <v>V2630022175001</v>
      </c>
      <c r="C711" s="2" t="s">
        <v>4912</v>
      </c>
      <c r="D711" s="2" t="s">
        <v>4879</v>
      </c>
      <c r="E711" s="2" t="s">
        <v>4546</v>
      </c>
      <c r="F711" s="2" t="s">
        <v>13</v>
      </c>
      <c r="H711" s="2">
        <v>2013</v>
      </c>
      <c r="I711" s="2" t="s">
        <v>4913</v>
      </c>
      <c r="J711" s="2" t="s">
        <v>15</v>
      </c>
      <c r="K711" s="2" t="s">
        <v>4914</v>
      </c>
    </row>
    <row r="712" spans="1:11" x14ac:dyDescent="0.25">
      <c r="A712" s="2" t="s">
        <v>2822</v>
      </c>
      <c r="B712" s="2" t="str">
        <f>"V2630022176001"</f>
        <v>V2630022176001</v>
      </c>
      <c r="C712" s="2" t="s">
        <v>4915</v>
      </c>
      <c r="D712" s="2" t="s">
        <v>4879</v>
      </c>
      <c r="E712" s="2" t="s">
        <v>4546</v>
      </c>
      <c r="F712" s="2" t="s">
        <v>13</v>
      </c>
      <c r="H712" s="2">
        <v>2013</v>
      </c>
      <c r="I712" s="2" t="s">
        <v>4916</v>
      </c>
      <c r="J712" s="2" t="s">
        <v>15</v>
      </c>
      <c r="K712" s="2" t="s">
        <v>4917</v>
      </c>
    </row>
    <row r="713" spans="1:11" x14ac:dyDescent="0.25">
      <c r="A713" s="2" t="s">
        <v>2822</v>
      </c>
      <c r="B713" s="2" t="str">
        <f>"V2630022177001"</f>
        <v>V2630022177001</v>
      </c>
      <c r="C713" s="2" t="s">
        <v>4918</v>
      </c>
      <c r="D713" s="2" t="s">
        <v>4879</v>
      </c>
      <c r="E713" s="2" t="s">
        <v>4546</v>
      </c>
      <c r="F713" s="2" t="s">
        <v>13</v>
      </c>
      <c r="H713" s="2">
        <v>2013</v>
      </c>
      <c r="I713" s="2" t="s">
        <v>4919</v>
      </c>
      <c r="J713" s="2" t="s">
        <v>15</v>
      </c>
      <c r="K713" s="2" t="s">
        <v>4920</v>
      </c>
    </row>
    <row r="714" spans="1:11" x14ac:dyDescent="0.25">
      <c r="A714" s="2" t="s">
        <v>2822</v>
      </c>
      <c r="B714" s="2" t="str">
        <f>"V2630022178001"</f>
        <v>V2630022178001</v>
      </c>
      <c r="C714" s="2" t="s">
        <v>4921</v>
      </c>
      <c r="D714" s="2" t="s">
        <v>4879</v>
      </c>
      <c r="E714" s="2" t="s">
        <v>4546</v>
      </c>
      <c r="F714" s="2" t="s">
        <v>13</v>
      </c>
      <c r="H714" s="2">
        <v>2013</v>
      </c>
      <c r="I714" s="2" t="s">
        <v>4922</v>
      </c>
      <c r="J714" s="2" t="s">
        <v>15</v>
      </c>
      <c r="K714" s="2" t="s">
        <v>4923</v>
      </c>
    </row>
    <row r="715" spans="1:11" x14ac:dyDescent="0.25">
      <c r="A715" s="2" t="s">
        <v>2822</v>
      </c>
      <c r="B715" s="2" t="str">
        <f>"V2630022179001"</f>
        <v>V2630022179001</v>
      </c>
      <c r="C715" s="2" t="s">
        <v>4924</v>
      </c>
      <c r="D715" s="2" t="s">
        <v>4879</v>
      </c>
      <c r="E715" s="2" t="s">
        <v>4546</v>
      </c>
      <c r="F715" s="2" t="s">
        <v>13</v>
      </c>
      <c r="H715" s="2">
        <v>2013</v>
      </c>
      <c r="I715" s="2" t="s">
        <v>4925</v>
      </c>
      <c r="J715" s="2" t="s">
        <v>15</v>
      </c>
      <c r="K715" s="2" t="s">
        <v>4926</v>
      </c>
    </row>
    <row r="716" spans="1:11" x14ac:dyDescent="0.25">
      <c r="A716" s="2" t="s">
        <v>2822</v>
      </c>
      <c r="B716" s="2" t="str">
        <f>"V2630022180001"</f>
        <v>V2630022180001</v>
      </c>
      <c r="C716" s="2" t="s">
        <v>4927</v>
      </c>
      <c r="D716" s="2" t="s">
        <v>4879</v>
      </c>
      <c r="E716" s="2" t="s">
        <v>4546</v>
      </c>
      <c r="F716" s="2" t="s">
        <v>13</v>
      </c>
      <c r="H716" s="2">
        <v>2013</v>
      </c>
      <c r="I716" s="2" t="s">
        <v>4928</v>
      </c>
      <c r="J716" s="2" t="s">
        <v>15</v>
      </c>
      <c r="K716" s="2" t="s">
        <v>4929</v>
      </c>
    </row>
    <row r="717" spans="1:11" x14ac:dyDescent="0.25">
      <c r="A717" s="2" t="s">
        <v>2822</v>
      </c>
      <c r="B717" s="2" t="str">
        <f>"V2630022181001"</f>
        <v>V2630022181001</v>
      </c>
      <c r="C717" s="2" t="s">
        <v>4930</v>
      </c>
      <c r="D717" s="2" t="s">
        <v>4879</v>
      </c>
      <c r="E717" s="2" t="s">
        <v>4546</v>
      </c>
      <c r="F717" s="2" t="s">
        <v>13</v>
      </c>
      <c r="H717" s="2">
        <v>2013</v>
      </c>
      <c r="I717" s="2" t="s">
        <v>4931</v>
      </c>
      <c r="J717" s="2" t="s">
        <v>15</v>
      </c>
      <c r="K717" s="2" t="s">
        <v>4932</v>
      </c>
    </row>
    <row r="718" spans="1:11" x14ac:dyDescent="0.25">
      <c r="A718" s="2" t="s">
        <v>2822</v>
      </c>
      <c r="B718" s="2" t="str">
        <f>"V2630022182001"</f>
        <v>V2630022182001</v>
      </c>
      <c r="C718" s="2" t="s">
        <v>4933</v>
      </c>
      <c r="D718" s="2" t="s">
        <v>4879</v>
      </c>
      <c r="E718" s="2" t="s">
        <v>4546</v>
      </c>
      <c r="F718" s="2" t="s">
        <v>13</v>
      </c>
      <c r="H718" s="2">
        <v>2013</v>
      </c>
      <c r="I718" s="2" t="s">
        <v>4934</v>
      </c>
      <c r="J718" s="2" t="s">
        <v>15</v>
      </c>
      <c r="K718" s="2" t="s">
        <v>4935</v>
      </c>
    </row>
    <row r="719" spans="1:11" x14ac:dyDescent="0.25">
      <c r="A719" s="2" t="s">
        <v>2822</v>
      </c>
      <c r="B719" s="2" t="str">
        <f>"V2630022183001"</f>
        <v>V2630022183001</v>
      </c>
      <c r="C719" s="2" t="s">
        <v>4936</v>
      </c>
      <c r="D719" s="2" t="s">
        <v>4879</v>
      </c>
      <c r="E719" s="2" t="s">
        <v>4546</v>
      </c>
      <c r="F719" s="2" t="s">
        <v>13</v>
      </c>
      <c r="H719" s="2">
        <v>2013</v>
      </c>
      <c r="I719" s="2" t="s">
        <v>4937</v>
      </c>
      <c r="J719" s="2" t="s">
        <v>15</v>
      </c>
      <c r="K719" s="2" t="s">
        <v>4938</v>
      </c>
    </row>
    <row r="720" spans="1:11" x14ac:dyDescent="0.25">
      <c r="A720" s="2" t="s">
        <v>2822</v>
      </c>
      <c r="B720" s="2" t="str">
        <f>"V2630022184001"</f>
        <v>V2630022184001</v>
      </c>
      <c r="C720" s="2" t="s">
        <v>4939</v>
      </c>
      <c r="D720" s="2" t="s">
        <v>4879</v>
      </c>
      <c r="E720" s="2" t="s">
        <v>4546</v>
      </c>
      <c r="F720" s="2" t="s">
        <v>13</v>
      </c>
      <c r="H720" s="2">
        <v>2013</v>
      </c>
      <c r="I720" s="2" t="s">
        <v>4940</v>
      </c>
      <c r="J720" s="2" t="s">
        <v>15</v>
      </c>
      <c r="K720" s="2" t="s">
        <v>4941</v>
      </c>
    </row>
    <row r="721" spans="1:11" x14ac:dyDescent="0.25">
      <c r="A721" s="2" t="s">
        <v>2822</v>
      </c>
      <c r="B721" s="2" t="str">
        <f>"V2630022185001"</f>
        <v>V2630022185001</v>
      </c>
      <c r="C721" s="2" t="s">
        <v>4942</v>
      </c>
      <c r="D721" s="2" t="s">
        <v>4879</v>
      </c>
      <c r="E721" s="2" t="s">
        <v>4546</v>
      </c>
      <c r="F721" s="2" t="s">
        <v>13</v>
      </c>
      <c r="H721" s="2">
        <v>2013</v>
      </c>
      <c r="I721" s="2" t="s">
        <v>4943</v>
      </c>
      <c r="J721" s="2" t="s">
        <v>15</v>
      </c>
      <c r="K721" s="2" t="s">
        <v>4944</v>
      </c>
    </row>
    <row r="722" spans="1:11" x14ac:dyDescent="0.25">
      <c r="A722" s="2" t="s">
        <v>2822</v>
      </c>
      <c r="B722" s="2" t="str">
        <f>"V2630022186001"</f>
        <v>V2630022186001</v>
      </c>
      <c r="C722" s="2" t="s">
        <v>4945</v>
      </c>
      <c r="D722" s="2" t="s">
        <v>4879</v>
      </c>
      <c r="E722" s="2" t="s">
        <v>4546</v>
      </c>
      <c r="F722" s="2" t="s">
        <v>13</v>
      </c>
      <c r="H722" s="2">
        <v>2013</v>
      </c>
      <c r="I722" s="2" t="s">
        <v>4946</v>
      </c>
      <c r="J722" s="2" t="s">
        <v>15</v>
      </c>
      <c r="K722" s="2" t="s">
        <v>4947</v>
      </c>
    </row>
    <row r="723" spans="1:11" x14ac:dyDescent="0.25">
      <c r="A723" s="2" t="s">
        <v>2822</v>
      </c>
      <c r="B723" s="2" t="str">
        <f>"V2630022187001"</f>
        <v>V2630022187001</v>
      </c>
      <c r="C723" s="2" t="s">
        <v>4948</v>
      </c>
      <c r="D723" s="2" t="s">
        <v>4879</v>
      </c>
      <c r="E723" s="2" t="s">
        <v>4546</v>
      </c>
      <c r="F723" s="2" t="s">
        <v>13</v>
      </c>
      <c r="H723" s="2">
        <v>2013</v>
      </c>
      <c r="I723" s="2" t="s">
        <v>4949</v>
      </c>
      <c r="J723" s="2" t="s">
        <v>15</v>
      </c>
      <c r="K723" s="2" t="s">
        <v>4950</v>
      </c>
    </row>
    <row r="724" spans="1:11" x14ac:dyDescent="0.25">
      <c r="A724" s="2" t="s">
        <v>2822</v>
      </c>
      <c r="B724" s="2" t="str">
        <f>"V2630022188001"</f>
        <v>V2630022188001</v>
      </c>
      <c r="C724" s="2" t="s">
        <v>4951</v>
      </c>
      <c r="D724" s="2" t="s">
        <v>4879</v>
      </c>
      <c r="E724" s="2" t="s">
        <v>4546</v>
      </c>
      <c r="F724" s="2" t="s">
        <v>13</v>
      </c>
      <c r="H724" s="2">
        <v>2013</v>
      </c>
      <c r="I724" s="2" t="s">
        <v>4952</v>
      </c>
      <c r="J724" s="2" t="s">
        <v>15</v>
      </c>
      <c r="K724" s="2" t="s">
        <v>4953</v>
      </c>
    </row>
    <row r="725" spans="1:11" x14ac:dyDescent="0.25">
      <c r="A725" s="2" t="s">
        <v>2822</v>
      </c>
      <c r="B725" s="2" t="str">
        <f>"V6129542156001"</f>
        <v>V6129542156001</v>
      </c>
      <c r="C725" s="2" t="s">
        <v>4954</v>
      </c>
      <c r="D725" s="2" t="s">
        <v>2707</v>
      </c>
      <c r="E725" s="2" t="s">
        <v>4163</v>
      </c>
      <c r="F725" s="2" t="s">
        <v>13</v>
      </c>
      <c r="H725" s="2">
        <v>2020</v>
      </c>
      <c r="I725" s="2" t="s">
        <v>4263</v>
      </c>
      <c r="J725" s="2" t="s">
        <v>15</v>
      </c>
      <c r="K725" s="2" t="s">
        <v>4955</v>
      </c>
    </row>
    <row r="726" spans="1:11" x14ac:dyDescent="0.25">
      <c r="A726" s="2" t="s">
        <v>2822</v>
      </c>
      <c r="B726" s="2" t="str">
        <f>"V6129541763001"</f>
        <v>V6129541763001</v>
      </c>
      <c r="C726" s="2" t="s">
        <v>4956</v>
      </c>
      <c r="D726" s="2" t="s">
        <v>2707</v>
      </c>
      <c r="E726" s="2" t="s">
        <v>4163</v>
      </c>
      <c r="F726" s="2" t="s">
        <v>13</v>
      </c>
      <c r="H726" s="2">
        <v>2020</v>
      </c>
      <c r="I726" s="2" t="s">
        <v>4957</v>
      </c>
      <c r="J726" s="2" t="s">
        <v>15</v>
      </c>
      <c r="K726" s="2" t="s">
        <v>4958</v>
      </c>
    </row>
    <row r="727" spans="1:11" x14ac:dyDescent="0.25">
      <c r="A727" s="2" t="s">
        <v>2822</v>
      </c>
      <c r="B727" s="2" t="str">
        <f>"V6129538875001"</f>
        <v>V6129538875001</v>
      </c>
      <c r="C727" s="2" t="s">
        <v>4959</v>
      </c>
      <c r="D727" s="2" t="s">
        <v>2707</v>
      </c>
      <c r="E727" s="2" t="s">
        <v>4163</v>
      </c>
      <c r="F727" s="2" t="s">
        <v>13</v>
      </c>
      <c r="H727" s="2">
        <v>2020</v>
      </c>
      <c r="I727" s="2" t="s">
        <v>4960</v>
      </c>
      <c r="J727" s="2" t="s">
        <v>15</v>
      </c>
      <c r="K727" s="2" t="s">
        <v>4961</v>
      </c>
    </row>
    <row r="728" spans="1:11" x14ac:dyDescent="0.25">
      <c r="A728" s="2" t="s">
        <v>2822</v>
      </c>
      <c r="B728" s="2" t="str">
        <f>"V6129538876001"</f>
        <v>V6129538876001</v>
      </c>
      <c r="C728" s="2" t="s">
        <v>4962</v>
      </c>
      <c r="D728" s="2" t="s">
        <v>2707</v>
      </c>
      <c r="E728" s="2" t="s">
        <v>4163</v>
      </c>
      <c r="F728" s="2" t="s">
        <v>13</v>
      </c>
      <c r="H728" s="2">
        <v>2020</v>
      </c>
      <c r="I728" s="2" t="s">
        <v>4963</v>
      </c>
      <c r="J728" s="2" t="s">
        <v>15</v>
      </c>
      <c r="K728" s="2" t="s">
        <v>4964</v>
      </c>
    </row>
    <row r="729" spans="1:11" x14ac:dyDescent="0.25">
      <c r="A729" s="2" t="s">
        <v>2822</v>
      </c>
      <c r="B729" s="2" t="str">
        <f>"V6129544262001"</f>
        <v>V6129544262001</v>
      </c>
      <c r="C729" s="2" t="s">
        <v>4965</v>
      </c>
      <c r="D729" s="2" t="s">
        <v>2707</v>
      </c>
      <c r="E729" s="2" t="s">
        <v>4163</v>
      </c>
      <c r="F729" s="2" t="s">
        <v>13</v>
      </c>
      <c r="H729" s="2">
        <v>2020</v>
      </c>
      <c r="I729" s="2" t="s">
        <v>4966</v>
      </c>
      <c r="J729" s="2" t="s">
        <v>15</v>
      </c>
      <c r="K729" s="2" t="s">
        <v>4967</v>
      </c>
    </row>
    <row r="730" spans="1:11" x14ac:dyDescent="0.25">
      <c r="A730" s="2" t="s">
        <v>2822</v>
      </c>
      <c r="B730" s="2" t="str">
        <f>"V6129543970001"</f>
        <v>V6129543970001</v>
      </c>
      <c r="C730" s="2" t="s">
        <v>4968</v>
      </c>
      <c r="D730" s="2" t="s">
        <v>2707</v>
      </c>
      <c r="E730" s="2" t="s">
        <v>4163</v>
      </c>
      <c r="F730" s="2" t="s">
        <v>13</v>
      </c>
      <c r="H730" s="2">
        <v>2020</v>
      </c>
      <c r="I730" s="2" t="s">
        <v>4969</v>
      </c>
      <c r="J730" s="2" t="s">
        <v>15</v>
      </c>
      <c r="K730" s="2" t="s">
        <v>4970</v>
      </c>
    </row>
    <row r="731" spans="1:11" x14ac:dyDescent="0.25">
      <c r="A731" s="2" t="s">
        <v>2822</v>
      </c>
      <c r="B731" s="2" t="str">
        <f>"V6129542162001"</f>
        <v>V6129542162001</v>
      </c>
      <c r="C731" s="2" t="s">
        <v>4971</v>
      </c>
      <c r="D731" s="2" t="s">
        <v>2707</v>
      </c>
      <c r="E731" s="2" t="s">
        <v>4163</v>
      </c>
      <c r="F731" s="2" t="s">
        <v>13</v>
      </c>
      <c r="H731" s="2">
        <v>2020</v>
      </c>
      <c r="I731" s="2" t="s">
        <v>4969</v>
      </c>
      <c r="J731" s="2" t="s">
        <v>15</v>
      </c>
      <c r="K731" s="2" t="s">
        <v>4972</v>
      </c>
    </row>
    <row r="732" spans="1:11" x14ac:dyDescent="0.25">
      <c r="A732" s="2" t="s">
        <v>2822</v>
      </c>
      <c r="B732" s="2" t="str">
        <f>"V6129542301001"</f>
        <v>V6129542301001</v>
      </c>
      <c r="C732" s="2" t="s">
        <v>4973</v>
      </c>
      <c r="D732" s="2" t="s">
        <v>2707</v>
      </c>
      <c r="E732" s="2" t="s">
        <v>4163</v>
      </c>
      <c r="F732" s="2" t="s">
        <v>13</v>
      </c>
      <c r="H732" s="2">
        <v>2020</v>
      </c>
      <c r="I732" s="2" t="s">
        <v>4974</v>
      </c>
      <c r="J732" s="2" t="s">
        <v>15</v>
      </c>
      <c r="K732" s="2" t="s">
        <v>4975</v>
      </c>
    </row>
    <row r="733" spans="1:11" x14ac:dyDescent="0.25">
      <c r="A733" s="2" t="s">
        <v>2822</v>
      </c>
      <c r="B733" s="2" t="str">
        <f>"V6129544271001"</f>
        <v>V6129544271001</v>
      </c>
      <c r="C733" s="2" t="s">
        <v>4976</v>
      </c>
      <c r="D733" s="2" t="s">
        <v>2707</v>
      </c>
      <c r="E733" s="2" t="s">
        <v>4163</v>
      </c>
      <c r="F733" s="2" t="s">
        <v>13</v>
      </c>
      <c r="H733" s="2">
        <v>2020</v>
      </c>
      <c r="I733" s="2" t="s">
        <v>4977</v>
      </c>
      <c r="J733" s="2" t="s">
        <v>15</v>
      </c>
      <c r="K733" s="2" t="s">
        <v>4978</v>
      </c>
    </row>
    <row r="734" spans="1:11" x14ac:dyDescent="0.25">
      <c r="A734" s="2" t="s">
        <v>2822</v>
      </c>
      <c r="B734" s="2" t="str">
        <f>"V6129542302001"</f>
        <v>V6129542302001</v>
      </c>
      <c r="C734" s="2" t="s">
        <v>4979</v>
      </c>
      <c r="D734" s="2" t="s">
        <v>2707</v>
      </c>
      <c r="E734" s="2" t="s">
        <v>4163</v>
      </c>
      <c r="F734" s="2" t="s">
        <v>13</v>
      </c>
      <c r="H734" s="2">
        <v>2020</v>
      </c>
      <c r="I734" s="2" t="s">
        <v>4980</v>
      </c>
      <c r="J734" s="2" t="s">
        <v>15</v>
      </c>
      <c r="K734" s="2" t="s">
        <v>4981</v>
      </c>
    </row>
    <row r="735" spans="1:11" x14ac:dyDescent="0.25">
      <c r="A735" s="2" t="s">
        <v>2822</v>
      </c>
      <c r="B735" s="2" t="str">
        <f>"V6129543975001"</f>
        <v>V6129543975001</v>
      </c>
      <c r="C735" s="2" t="s">
        <v>4982</v>
      </c>
      <c r="D735" s="2" t="s">
        <v>2707</v>
      </c>
      <c r="E735" s="2" t="s">
        <v>4163</v>
      </c>
      <c r="F735" s="2" t="s">
        <v>13</v>
      </c>
      <c r="H735" s="2">
        <v>2020</v>
      </c>
      <c r="I735" s="2" t="s">
        <v>4983</v>
      </c>
      <c r="J735" s="2" t="s">
        <v>15</v>
      </c>
      <c r="K735" s="2" t="s">
        <v>4984</v>
      </c>
    </row>
    <row r="736" spans="1:11" x14ac:dyDescent="0.25">
      <c r="A736" s="2" t="s">
        <v>2822</v>
      </c>
      <c r="B736" s="2" t="str">
        <f>"V6129543977001"</f>
        <v>V6129543977001</v>
      </c>
      <c r="C736" s="2" t="s">
        <v>4985</v>
      </c>
      <c r="D736" s="2" t="s">
        <v>2707</v>
      </c>
      <c r="E736" s="2" t="s">
        <v>4163</v>
      </c>
      <c r="F736" s="2" t="s">
        <v>13</v>
      </c>
      <c r="H736" s="2">
        <v>2020</v>
      </c>
      <c r="I736" s="2" t="s">
        <v>4986</v>
      </c>
      <c r="J736" s="2" t="s">
        <v>15</v>
      </c>
      <c r="K736" s="2" t="s">
        <v>4987</v>
      </c>
    </row>
    <row r="737" spans="1:11" x14ac:dyDescent="0.25">
      <c r="A737" s="2" t="s">
        <v>2822</v>
      </c>
      <c r="B737" s="2" t="str">
        <f>"V6129541769001"</f>
        <v>V6129541769001</v>
      </c>
      <c r="C737" s="2" t="s">
        <v>4988</v>
      </c>
      <c r="D737" s="2" t="s">
        <v>2707</v>
      </c>
      <c r="E737" s="2" t="s">
        <v>4163</v>
      </c>
      <c r="F737" s="2" t="s">
        <v>13</v>
      </c>
      <c r="H737" s="2">
        <v>2020</v>
      </c>
      <c r="I737" s="2" t="s">
        <v>4989</v>
      </c>
      <c r="J737" s="2" t="s">
        <v>15</v>
      </c>
      <c r="K737" s="2" t="s">
        <v>4990</v>
      </c>
    </row>
    <row r="738" spans="1:11" x14ac:dyDescent="0.25">
      <c r="A738" s="2" t="s">
        <v>2822</v>
      </c>
      <c r="B738" s="2" t="str">
        <f>"V6129544275001"</f>
        <v>V6129544275001</v>
      </c>
      <c r="C738" s="2" t="s">
        <v>4991</v>
      </c>
      <c r="D738" s="2" t="s">
        <v>2707</v>
      </c>
      <c r="E738" s="2" t="s">
        <v>4163</v>
      </c>
      <c r="F738" s="2" t="s">
        <v>13</v>
      </c>
      <c r="H738" s="2">
        <v>2020</v>
      </c>
      <c r="I738" s="2" t="s">
        <v>4992</v>
      </c>
      <c r="J738" s="2" t="s">
        <v>15</v>
      </c>
      <c r="K738" s="2" t="s">
        <v>4993</v>
      </c>
    </row>
    <row r="739" spans="1:11" x14ac:dyDescent="0.25">
      <c r="A739" s="2" t="s">
        <v>2822</v>
      </c>
      <c r="B739" s="2" t="str">
        <f>"V6129544279001"</f>
        <v>V6129544279001</v>
      </c>
      <c r="C739" s="2" t="s">
        <v>4994</v>
      </c>
      <c r="D739" s="2" t="s">
        <v>2707</v>
      </c>
      <c r="E739" s="2" t="s">
        <v>4163</v>
      </c>
      <c r="F739" s="2" t="s">
        <v>13</v>
      </c>
      <c r="H739" s="2">
        <v>2020</v>
      </c>
      <c r="I739" s="2" t="s">
        <v>4995</v>
      </c>
      <c r="J739" s="2" t="s">
        <v>15</v>
      </c>
      <c r="K739" s="2" t="s">
        <v>4996</v>
      </c>
    </row>
    <row r="740" spans="1:11" x14ac:dyDescent="0.25">
      <c r="A740" s="2" t="s">
        <v>2822</v>
      </c>
      <c r="B740" s="2" t="str">
        <f>"V6129542284001"</f>
        <v>V6129542284001</v>
      </c>
      <c r="C740" s="2" t="s">
        <v>4997</v>
      </c>
      <c r="D740" s="2" t="s">
        <v>2707</v>
      </c>
      <c r="E740" s="2" t="s">
        <v>4163</v>
      </c>
      <c r="F740" s="2" t="s">
        <v>13</v>
      </c>
      <c r="H740" s="2">
        <v>2020</v>
      </c>
      <c r="I740" s="2" t="s">
        <v>4966</v>
      </c>
      <c r="J740" s="2" t="s">
        <v>15</v>
      </c>
      <c r="K740" s="2" t="s">
        <v>4998</v>
      </c>
    </row>
    <row r="741" spans="1:11" x14ac:dyDescent="0.25">
      <c r="A741" s="2" t="s">
        <v>2822</v>
      </c>
      <c r="B741" s="2" t="str">
        <f>"V6129538277001"</f>
        <v>V6129538277001</v>
      </c>
      <c r="C741" s="2" t="s">
        <v>4999</v>
      </c>
      <c r="D741" s="2" t="s">
        <v>2707</v>
      </c>
      <c r="E741" s="2" t="s">
        <v>4163</v>
      </c>
      <c r="F741" s="2" t="s">
        <v>13</v>
      </c>
      <c r="H741" s="2">
        <v>2020</v>
      </c>
      <c r="I741" s="2" t="s">
        <v>5000</v>
      </c>
      <c r="J741" s="2" t="s">
        <v>15</v>
      </c>
      <c r="K741" s="2" t="s">
        <v>5001</v>
      </c>
    </row>
    <row r="742" spans="1:11" x14ac:dyDescent="0.25">
      <c r="A742" s="2" t="s">
        <v>2822</v>
      </c>
      <c r="B742" s="2" t="str">
        <f>"V6129543291001"</f>
        <v>V6129543291001</v>
      </c>
      <c r="C742" s="2" t="s">
        <v>5002</v>
      </c>
      <c r="D742" s="2" t="s">
        <v>2707</v>
      </c>
      <c r="E742" s="2" t="s">
        <v>4163</v>
      </c>
      <c r="F742" s="2" t="s">
        <v>13</v>
      </c>
      <c r="H742" s="2">
        <v>2020</v>
      </c>
      <c r="I742" s="2" t="s">
        <v>5003</v>
      </c>
      <c r="J742" s="2" t="s">
        <v>15</v>
      </c>
      <c r="K742" s="2" t="s">
        <v>5004</v>
      </c>
    </row>
    <row r="743" spans="1:11" x14ac:dyDescent="0.25">
      <c r="A743" s="2" t="s">
        <v>2822</v>
      </c>
      <c r="B743" s="2" t="str">
        <f>"V6129541771001"</f>
        <v>V6129541771001</v>
      </c>
      <c r="C743" s="2" t="s">
        <v>5005</v>
      </c>
      <c r="D743" s="2" t="s">
        <v>2707</v>
      </c>
      <c r="E743" s="2" t="s">
        <v>4163</v>
      </c>
      <c r="F743" s="2" t="s">
        <v>13</v>
      </c>
      <c r="H743" s="2">
        <v>2020</v>
      </c>
      <c r="I743" s="2" t="s">
        <v>5006</v>
      </c>
      <c r="J743" s="2" t="s">
        <v>15</v>
      </c>
      <c r="K743" s="2" t="s">
        <v>5007</v>
      </c>
    </row>
    <row r="744" spans="1:11" x14ac:dyDescent="0.25">
      <c r="A744" s="2" t="s">
        <v>2822</v>
      </c>
      <c r="B744" s="2" t="str">
        <f>"V6129542168001"</f>
        <v>V6129542168001</v>
      </c>
      <c r="C744" s="2" t="s">
        <v>5008</v>
      </c>
      <c r="D744" s="2" t="s">
        <v>2707</v>
      </c>
      <c r="E744" s="2" t="s">
        <v>4163</v>
      </c>
      <c r="F744" s="2" t="s">
        <v>13</v>
      </c>
      <c r="H744" s="2">
        <v>2020</v>
      </c>
      <c r="I744" s="2" t="s">
        <v>5009</v>
      </c>
      <c r="J744" s="2" t="s">
        <v>15</v>
      </c>
      <c r="K744" s="2" t="s">
        <v>5010</v>
      </c>
    </row>
    <row r="745" spans="1:11" x14ac:dyDescent="0.25">
      <c r="A745" s="2" t="s">
        <v>2822</v>
      </c>
      <c r="B745" s="2" t="str">
        <f>"V6129544278001"</f>
        <v>V6129544278001</v>
      </c>
      <c r="C745" s="2" t="s">
        <v>5011</v>
      </c>
      <c r="D745" s="2" t="s">
        <v>2707</v>
      </c>
      <c r="E745" s="2" t="s">
        <v>4163</v>
      </c>
      <c r="F745" s="2" t="s">
        <v>13</v>
      </c>
      <c r="H745" s="2">
        <v>2020</v>
      </c>
      <c r="I745" s="2" t="s">
        <v>5012</v>
      </c>
      <c r="J745" s="2" t="s">
        <v>15</v>
      </c>
      <c r="K745" s="2" t="s">
        <v>5013</v>
      </c>
    </row>
    <row r="746" spans="1:11" x14ac:dyDescent="0.25">
      <c r="A746" s="2" t="s">
        <v>2822</v>
      </c>
      <c r="B746" s="2" t="str">
        <f>"V6129543983001"</f>
        <v>V6129543983001</v>
      </c>
      <c r="C746" s="2" t="s">
        <v>5014</v>
      </c>
      <c r="D746" s="2" t="s">
        <v>2707</v>
      </c>
      <c r="E746" s="2" t="s">
        <v>4163</v>
      </c>
      <c r="F746" s="2" t="s">
        <v>13</v>
      </c>
      <c r="H746" s="2">
        <v>2020</v>
      </c>
      <c r="I746" s="2" t="s">
        <v>5003</v>
      </c>
      <c r="J746" s="2" t="s">
        <v>15</v>
      </c>
      <c r="K746" s="2" t="s">
        <v>5015</v>
      </c>
    </row>
    <row r="747" spans="1:11" x14ac:dyDescent="0.25">
      <c r="A747" s="2" t="s">
        <v>2822</v>
      </c>
      <c r="B747" s="2" t="str">
        <f>"V6129541770001"</f>
        <v>V6129541770001</v>
      </c>
      <c r="C747" s="2" t="s">
        <v>5016</v>
      </c>
      <c r="D747" s="2" t="s">
        <v>2707</v>
      </c>
      <c r="E747" s="2" t="s">
        <v>4163</v>
      </c>
      <c r="F747" s="2" t="s">
        <v>13</v>
      </c>
      <c r="H747" s="2">
        <v>2020</v>
      </c>
      <c r="I747" s="2" t="s">
        <v>5017</v>
      </c>
      <c r="J747" s="2" t="s">
        <v>15</v>
      </c>
      <c r="K747" s="2" t="s">
        <v>5018</v>
      </c>
    </row>
    <row r="748" spans="1:11" x14ac:dyDescent="0.25">
      <c r="A748" s="2" t="s">
        <v>2822</v>
      </c>
      <c r="B748" s="2" t="str">
        <f>"V6129542080001"</f>
        <v>V6129542080001</v>
      </c>
      <c r="C748" s="2" t="s">
        <v>5019</v>
      </c>
      <c r="D748" s="2" t="s">
        <v>2707</v>
      </c>
      <c r="E748" s="2" t="s">
        <v>4163</v>
      </c>
      <c r="F748" s="2" t="s">
        <v>13</v>
      </c>
      <c r="H748" s="2">
        <v>2020</v>
      </c>
      <c r="I748" s="2" t="s">
        <v>5020</v>
      </c>
      <c r="J748" s="2" t="s">
        <v>15</v>
      </c>
      <c r="K748" s="2" t="s">
        <v>5021</v>
      </c>
    </row>
    <row r="749" spans="1:11" x14ac:dyDescent="0.25">
      <c r="A749" s="2" t="s">
        <v>2822</v>
      </c>
      <c r="B749" s="2" t="str">
        <f>"V6129539807001"</f>
        <v>V6129539807001</v>
      </c>
      <c r="C749" s="2" t="s">
        <v>5022</v>
      </c>
      <c r="D749" s="2" t="s">
        <v>2707</v>
      </c>
      <c r="E749" s="2" t="s">
        <v>4163</v>
      </c>
      <c r="F749" s="2" t="s">
        <v>13</v>
      </c>
      <c r="H749" s="2">
        <v>2020</v>
      </c>
      <c r="I749" s="2" t="s">
        <v>5023</v>
      </c>
      <c r="J749" s="2" t="s">
        <v>15</v>
      </c>
      <c r="K749" s="2" t="s">
        <v>5024</v>
      </c>
    </row>
    <row r="750" spans="1:11" x14ac:dyDescent="0.25">
      <c r="A750" s="2" t="s">
        <v>2822</v>
      </c>
      <c r="B750" s="2" t="str">
        <f>"V6129543984001"</f>
        <v>V6129543984001</v>
      </c>
      <c r="C750" s="2" t="s">
        <v>5025</v>
      </c>
      <c r="D750" s="2" t="s">
        <v>2707</v>
      </c>
      <c r="E750" s="2" t="s">
        <v>4163</v>
      </c>
      <c r="F750" s="2" t="s">
        <v>13</v>
      </c>
      <c r="H750" s="2">
        <v>2020</v>
      </c>
      <c r="I750" s="2" t="s">
        <v>4303</v>
      </c>
      <c r="J750" s="2" t="s">
        <v>15</v>
      </c>
      <c r="K750" s="2" t="s">
        <v>5026</v>
      </c>
    </row>
    <row r="751" spans="1:11" x14ac:dyDescent="0.25">
      <c r="A751" s="2" t="s">
        <v>2822</v>
      </c>
      <c r="B751" s="2" t="str">
        <f>"V6129542169001"</f>
        <v>V6129542169001</v>
      </c>
      <c r="C751" s="2" t="s">
        <v>5027</v>
      </c>
      <c r="D751" s="2" t="s">
        <v>2707</v>
      </c>
      <c r="E751" s="2" t="s">
        <v>4163</v>
      </c>
      <c r="F751" s="2" t="s">
        <v>13</v>
      </c>
      <c r="H751" s="2">
        <v>2020</v>
      </c>
      <c r="I751" s="2" t="s">
        <v>5028</v>
      </c>
      <c r="J751" s="2" t="s">
        <v>15</v>
      </c>
      <c r="K751" s="2" t="s">
        <v>5029</v>
      </c>
    </row>
    <row r="752" spans="1:11" x14ac:dyDescent="0.25">
      <c r="A752" s="2" t="s">
        <v>2822</v>
      </c>
      <c r="B752" s="2" t="str">
        <f>"V6129543959001"</f>
        <v>V6129543959001</v>
      </c>
      <c r="C752" s="2" t="s">
        <v>5030</v>
      </c>
      <c r="D752" s="2" t="s">
        <v>2707</v>
      </c>
      <c r="E752" s="2" t="s">
        <v>4163</v>
      </c>
      <c r="F752" s="2" t="s">
        <v>13</v>
      </c>
      <c r="H752" s="2">
        <v>2020</v>
      </c>
      <c r="I752" s="2" t="s">
        <v>5031</v>
      </c>
      <c r="J752" s="2" t="s">
        <v>15</v>
      </c>
      <c r="K752" s="2" t="s">
        <v>5032</v>
      </c>
    </row>
    <row r="753" spans="1:11" x14ac:dyDescent="0.25">
      <c r="A753" s="2" t="s">
        <v>2822</v>
      </c>
      <c r="B753" s="2" t="str">
        <f>"V6129542286001"</f>
        <v>V6129542286001</v>
      </c>
      <c r="C753" s="2" t="s">
        <v>5033</v>
      </c>
      <c r="D753" s="2" t="s">
        <v>2707</v>
      </c>
      <c r="E753" s="2" t="s">
        <v>4163</v>
      </c>
      <c r="F753" s="2" t="s">
        <v>13</v>
      </c>
      <c r="H753" s="2">
        <v>2020</v>
      </c>
      <c r="I753" s="2" t="s">
        <v>4745</v>
      </c>
      <c r="J753" s="2" t="s">
        <v>15</v>
      </c>
      <c r="K753" s="2" t="s">
        <v>5034</v>
      </c>
    </row>
    <row r="754" spans="1:11" x14ac:dyDescent="0.25">
      <c r="A754" s="2" t="s">
        <v>2822</v>
      </c>
      <c r="B754" s="2" t="str">
        <f>"V6129542154001"</f>
        <v>V6129542154001</v>
      </c>
      <c r="C754" s="2" t="s">
        <v>5035</v>
      </c>
      <c r="D754" s="2" t="s">
        <v>2707</v>
      </c>
      <c r="E754" s="2" t="s">
        <v>4163</v>
      </c>
      <c r="F754" s="2" t="s">
        <v>13</v>
      </c>
      <c r="H754" s="2">
        <v>2020</v>
      </c>
      <c r="I754" s="2" t="s">
        <v>5036</v>
      </c>
      <c r="J754" s="2" t="s">
        <v>15</v>
      </c>
      <c r="K754" s="2" t="s">
        <v>5037</v>
      </c>
    </row>
    <row r="755" spans="1:11" x14ac:dyDescent="0.25">
      <c r="A755" s="2" t="s">
        <v>2822</v>
      </c>
      <c r="B755" s="2" t="str">
        <f>"V1902367037001"</f>
        <v>V1902367037001</v>
      </c>
      <c r="C755" s="2" t="s">
        <v>5038</v>
      </c>
      <c r="D755" s="2" t="s">
        <v>1879</v>
      </c>
      <c r="E755" s="2" t="s">
        <v>5039</v>
      </c>
      <c r="F755" s="2" t="s">
        <v>13</v>
      </c>
      <c r="H755" s="2">
        <v>2011</v>
      </c>
      <c r="I755" s="2" t="s">
        <v>5040</v>
      </c>
      <c r="J755" s="2" t="s">
        <v>15</v>
      </c>
      <c r="K755" s="2" t="s">
        <v>5041</v>
      </c>
    </row>
    <row r="756" spans="1:11" x14ac:dyDescent="0.25">
      <c r="A756" s="2" t="s">
        <v>2822</v>
      </c>
      <c r="B756" s="2" t="str">
        <f>"V1902367026001"</f>
        <v>V1902367026001</v>
      </c>
      <c r="C756" s="2" t="s">
        <v>5042</v>
      </c>
      <c r="D756" s="2" t="s">
        <v>1879</v>
      </c>
      <c r="E756" s="2" t="s">
        <v>5039</v>
      </c>
      <c r="F756" s="2" t="s">
        <v>13</v>
      </c>
      <c r="H756" s="2">
        <v>2011</v>
      </c>
      <c r="I756" s="2" t="s">
        <v>5043</v>
      </c>
      <c r="J756" s="2" t="s">
        <v>15</v>
      </c>
      <c r="K756" s="2" t="s">
        <v>5044</v>
      </c>
    </row>
    <row r="757" spans="1:11" x14ac:dyDescent="0.25">
      <c r="A757" s="2" t="s">
        <v>2822</v>
      </c>
      <c r="B757" s="2" t="str">
        <f>"V1902367035001"</f>
        <v>V1902367035001</v>
      </c>
      <c r="C757" s="2" t="s">
        <v>5045</v>
      </c>
      <c r="D757" s="2" t="s">
        <v>1879</v>
      </c>
      <c r="E757" s="2" t="s">
        <v>5039</v>
      </c>
      <c r="F757" s="2" t="s">
        <v>13</v>
      </c>
      <c r="H757" s="2">
        <v>2011</v>
      </c>
      <c r="I757" s="2" t="s">
        <v>5046</v>
      </c>
      <c r="J757" s="2" t="s">
        <v>15</v>
      </c>
      <c r="K757" s="2" t="s">
        <v>5047</v>
      </c>
    </row>
    <row r="758" spans="1:11" x14ac:dyDescent="0.25">
      <c r="A758" s="2" t="s">
        <v>2822</v>
      </c>
      <c r="B758" s="2" t="str">
        <f>"V1902367033001"</f>
        <v>V1902367033001</v>
      </c>
      <c r="C758" s="2" t="s">
        <v>5048</v>
      </c>
      <c r="D758" s="2" t="s">
        <v>1879</v>
      </c>
      <c r="E758" s="2" t="s">
        <v>5039</v>
      </c>
      <c r="F758" s="2" t="s">
        <v>13</v>
      </c>
      <c r="H758" s="2">
        <v>2011</v>
      </c>
      <c r="I758" s="2" t="s">
        <v>5049</v>
      </c>
      <c r="J758" s="2" t="s">
        <v>15</v>
      </c>
      <c r="K758" s="2" t="s">
        <v>5050</v>
      </c>
    </row>
    <row r="759" spans="1:11" x14ac:dyDescent="0.25">
      <c r="A759" s="2" t="s">
        <v>2822</v>
      </c>
      <c r="B759" s="2" t="str">
        <f>"V1902329129001"</f>
        <v>V1902329129001</v>
      </c>
      <c r="C759" s="2" t="s">
        <v>5051</v>
      </c>
      <c r="D759" s="2" t="s">
        <v>1879</v>
      </c>
      <c r="E759" s="2" t="s">
        <v>5039</v>
      </c>
      <c r="F759" s="2" t="s">
        <v>13</v>
      </c>
      <c r="H759" s="2">
        <v>2011</v>
      </c>
      <c r="I759" s="2" t="s">
        <v>5052</v>
      </c>
      <c r="J759" s="2" t="s">
        <v>15</v>
      </c>
      <c r="K759" s="2" t="s">
        <v>5053</v>
      </c>
    </row>
    <row r="760" spans="1:11" x14ac:dyDescent="0.25">
      <c r="A760" s="2" t="s">
        <v>2822</v>
      </c>
      <c r="B760" s="2" t="str">
        <f>"V1902367031001"</f>
        <v>V1902367031001</v>
      </c>
      <c r="C760" s="2" t="s">
        <v>5054</v>
      </c>
      <c r="D760" s="2" t="s">
        <v>1879</v>
      </c>
      <c r="E760" s="2" t="s">
        <v>5039</v>
      </c>
      <c r="F760" s="2" t="s">
        <v>13</v>
      </c>
      <c r="H760" s="2">
        <v>2011</v>
      </c>
      <c r="I760" s="2" t="s">
        <v>5055</v>
      </c>
      <c r="J760" s="2" t="s">
        <v>15</v>
      </c>
      <c r="K760" s="2" t="s">
        <v>5056</v>
      </c>
    </row>
    <row r="761" spans="1:11" x14ac:dyDescent="0.25">
      <c r="A761" s="2" t="s">
        <v>2822</v>
      </c>
      <c r="B761" s="2" t="str">
        <f>"V1902354932001"</f>
        <v>V1902354932001</v>
      </c>
      <c r="C761" s="2" t="s">
        <v>5057</v>
      </c>
      <c r="D761" s="2" t="s">
        <v>1879</v>
      </c>
      <c r="E761" s="2" t="s">
        <v>5039</v>
      </c>
      <c r="F761" s="2" t="s">
        <v>13</v>
      </c>
      <c r="H761" s="2">
        <v>2011</v>
      </c>
      <c r="I761" s="2" t="s">
        <v>5058</v>
      </c>
      <c r="J761" s="2" t="s">
        <v>15</v>
      </c>
      <c r="K761" s="2" t="s">
        <v>5059</v>
      </c>
    </row>
    <row r="762" spans="1:11" x14ac:dyDescent="0.25">
      <c r="A762" s="2" t="s">
        <v>2822</v>
      </c>
      <c r="B762" s="2" t="str">
        <f>"V1902354931001"</f>
        <v>V1902354931001</v>
      </c>
      <c r="C762" s="2" t="s">
        <v>5060</v>
      </c>
      <c r="D762" s="2" t="s">
        <v>1879</v>
      </c>
      <c r="E762" s="2" t="s">
        <v>5039</v>
      </c>
      <c r="F762" s="2" t="s">
        <v>13</v>
      </c>
      <c r="H762" s="2">
        <v>2011</v>
      </c>
      <c r="I762" s="2" t="s">
        <v>5061</v>
      </c>
      <c r="J762" s="2" t="s">
        <v>15</v>
      </c>
      <c r="K762" s="2" t="s">
        <v>5062</v>
      </c>
    </row>
    <row r="763" spans="1:11" x14ac:dyDescent="0.25">
      <c r="A763" s="2" t="s">
        <v>2822</v>
      </c>
      <c r="B763" s="2" t="str">
        <f>"V1902354941001"</f>
        <v>V1902354941001</v>
      </c>
      <c r="C763" s="2" t="s">
        <v>5063</v>
      </c>
      <c r="D763" s="2" t="s">
        <v>1879</v>
      </c>
      <c r="E763" s="2" t="s">
        <v>5039</v>
      </c>
      <c r="F763" s="2" t="s">
        <v>13</v>
      </c>
      <c r="H763" s="2">
        <v>2011</v>
      </c>
      <c r="I763" s="2" t="s">
        <v>5064</v>
      </c>
      <c r="J763" s="2" t="s">
        <v>15</v>
      </c>
      <c r="K763" s="2" t="s">
        <v>5065</v>
      </c>
    </row>
    <row r="764" spans="1:11" x14ac:dyDescent="0.25">
      <c r="A764" s="2" t="s">
        <v>2822</v>
      </c>
      <c r="B764" s="2" t="str">
        <f>"V1902329134001"</f>
        <v>V1902329134001</v>
      </c>
      <c r="C764" s="2" t="s">
        <v>5066</v>
      </c>
      <c r="D764" s="2" t="s">
        <v>1879</v>
      </c>
      <c r="E764" s="2" t="s">
        <v>5039</v>
      </c>
      <c r="F764" s="2" t="s">
        <v>13</v>
      </c>
      <c r="H764" s="2">
        <v>2011</v>
      </c>
      <c r="I764" s="2" t="s">
        <v>5067</v>
      </c>
      <c r="J764" s="2" t="s">
        <v>15</v>
      </c>
      <c r="K764" s="2" t="s">
        <v>5068</v>
      </c>
    </row>
    <row r="765" spans="1:11" x14ac:dyDescent="0.25">
      <c r="A765" s="2" t="s">
        <v>2822</v>
      </c>
      <c r="B765" s="2" t="str">
        <f>"V1902354939001"</f>
        <v>V1902354939001</v>
      </c>
      <c r="C765" s="2" t="s">
        <v>5069</v>
      </c>
      <c r="D765" s="2" t="s">
        <v>1879</v>
      </c>
      <c r="E765" s="2" t="s">
        <v>5039</v>
      </c>
      <c r="F765" s="2" t="s">
        <v>13</v>
      </c>
      <c r="H765" s="2">
        <v>2011</v>
      </c>
      <c r="I765" s="2" t="s">
        <v>5070</v>
      </c>
      <c r="J765" s="2" t="s">
        <v>15</v>
      </c>
      <c r="K765" s="2" t="s">
        <v>5071</v>
      </c>
    </row>
    <row r="766" spans="1:11" x14ac:dyDescent="0.25">
      <c r="A766" s="2" t="s">
        <v>2822</v>
      </c>
      <c r="B766" s="2" t="str">
        <f>"V1902329131001"</f>
        <v>V1902329131001</v>
      </c>
      <c r="C766" s="2" t="s">
        <v>5072</v>
      </c>
      <c r="D766" s="2" t="s">
        <v>1879</v>
      </c>
      <c r="E766" s="2" t="s">
        <v>5039</v>
      </c>
      <c r="F766" s="2" t="s">
        <v>13</v>
      </c>
      <c r="H766" s="2">
        <v>2011</v>
      </c>
      <c r="I766" s="2" t="s">
        <v>5073</v>
      </c>
      <c r="J766" s="2" t="s">
        <v>15</v>
      </c>
      <c r="K766" s="2" t="s">
        <v>5074</v>
      </c>
    </row>
    <row r="767" spans="1:11" x14ac:dyDescent="0.25">
      <c r="A767" s="2" t="s">
        <v>2822</v>
      </c>
      <c r="B767" s="2" t="str">
        <f>"V1902367032001"</f>
        <v>V1902367032001</v>
      </c>
      <c r="C767" s="2" t="s">
        <v>5075</v>
      </c>
      <c r="D767" s="2" t="s">
        <v>1879</v>
      </c>
      <c r="E767" s="2" t="s">
        <v>5039</v>
      </c>
      <c r="F767" s="2" t="s">
        <v>13</v>
      </c>
      <c r="H767" s="2">
        <v>2011</v>
      </c>
      <c r="I767" s="2" t="s">
        <v>5076</v>
      </c>
      <c r="J767" s="2" t="s">
        <v>15</v>
      </c>
      <c r="K767" s="2" t="s">
        <v>5077</v>
      </c>
    </row>
    <row r="768" spans="1:11" x14ac:dyDescent="0.25">
      <c r="A768" s="2" t="s">
        <v>2822</v>
      </c>
      <c r="B768" s="2" t="str">
        <f>"V1902329127001"</f>
        <v>V1902329127001</v>
      </c>
      <c r="C768" s="2" t="s">
        <v>5078</v>
      </c>
      <c r="D768" s="2" t="s">
        <v>1879</v>
      </c>
      <c r="E768" s="2" t="s">
        <v>5039</v>
      </c>
      <c r="F768" s="2" t="s">
        <v>13</v>
      </c>
      <c r="H768" s="2">
        <v>2011</v>
      </c>
      <c r="I768" s="2" t="s">
        <v>5079</v>
      </c>
      <c r="J768" s="2" t="s">
        <v>15</v>
      </c>
      <c r="K768" s="2" t="s">
        <v>5080</v>
      </c>
    </row>
    <row r="769" spans="1:11" x14ac:dyDescent="0.25">
      <c r="A769" s="2" t="s">
        <v>2822</v>
      </c>
      <c r="B769" s="2" t="str">
        <f>"V1902354934001"</f>
        <v>V1902354934001</v>
      </c>
      <c r="C769" s="2" t="s">
        <v>5081</v>
      </c>
      <c r="D769" s="2" t="s">
        <v>1879</v>
      </c>
      <c r="E769" s="2" t="s">
        <v>5039</v>
      </c>
      <c r="F769" s="2" t="s">
        <v>13</v>
      </c>
      <c r="H769" s="2">
        <v>2011</v>
      </c>
      <c r="I769" s="2" t="s">
        <v>5082</v>
      </c>
      <c r="J769" s="2" t="s">
        <v>15</v>
      </c>
      <c r="K769" s="2" t="s">
        <v>5083</v>
      </c>
    </row>
    <row r="770" spans="1:11" x14ac:dyDescent="0.25">
      <c r="A770" s="2" t="s">
        <v>2822</v>
      </c>
      <c r="B770" s="2" t="str">
        <f>"V1902329126001"</f>
        <v>V1902329126001</v>
      </c>
      <c r="C770" s="2" t="s">
        <v>5084</v>
      </c>
      <c r="D770" s="2" t="s">
        <v>1879</v>
      </c>
      <c r="E770" s="2" t="s">
        <v>5039</v>
      </c>
      <c r="F770" s="2" t="s">
        <v>13</v>
      </c>
      <c r="H770" s="2">
        <v>2011</v>
      </c>
      <c r="I770" s="2" t="s">
        <v>5085</v>
      </c>
      <c r="J770" s="2" t="s">
        <v>15</v>
      </c>
      <c r="K770" s="2" t="s">
        <v>5086</v>
      </c>
    </row>
    <row r="771" spans="1:11" x14ac:dyDescent="0.25">
      <c r="A771" s="2" t="s">
        <v>2822</v>
      </c>
      <c r="B771" s="2" t="str">
        <f>"V1902354933001"</f>
        <v>V1902354933001</v>
      </c>
      <c r="C771" s="2" t="s">
        <v>5087</v>
      </c>
      <c r="D771" s="2" t="s">
        <v>1879</v>
      </c>
      <c r="E771" s="2" t="s">
        <v>5039</v>
      </c>
      <c r="F771" s="2" t="s">
        <v>13</v>
      </c>
      <c r="H771" s="2">
        <v>2011</v>
      </c>
      <c r="I771" s="2" t="s">
        <v>5088</v>
      </c>
      <c r="J771" s="2" t="s">
        <v>15</v>
      </c>
      <c r="K771" s="2" t="s">
        <v>5089</v>
      </c>
    </row>
    <row r="772" spans="1:11" x14ac:dyDescent="0.25">
      <c r="A772" s="2" t="s">
        <v>2822</v>
      </c>
      <c r="B772" s="2" t="str">
        <f>"V1902367030001"</f>
        <v>V1902367030001</v>
      </c>
      <c r="C772" s="2" t="s">
        <v>5090</v>
      </c>
      <c r="D772" s="2" t="s">
        <v>1879</v>
      </c>
      <c r="E772" s="2" t="s">
        <v>5039</v>
      </c>
      <c r="F772" s="2" t="s">
        <v>13</v>
      </c>
      <c r="H772" s="2">
        <v>2011</v>
      </c>
      <c r="I772" s="2" t="s">
        <v>5091</v>
      </c>
      <c r="J772" s="2" t="s">
        <v>15</v>
      </c>
      <c r="K772" s="2" t="s">
        <v>5092</v>
      </c>
    </row>
    <row r="773" spans="1:11" x14ac:dyDescent="0.25">
      <c r="A773" s="2" t="s">
        <v>2822</v>
      </c>
      <c r="B773" s="2" t="str">
        <f>"V1902329124001"</f>
        <v>V1902329124001</v>
      </c>
      <c r="C773" s="2" t="s">
        <v>5093</v>
      </c>
      <c r="D773" s="2" t="s">
        <v>1879</v>
      </c>
      <c r="E773" s="2" t="s">
        <v>5039</v>
      </c>
      <c r="F773" s="2" t="s">
        <v>13</v>
      </c>
      <c r="H773" s="2">
        <v>2011</v>
      </c>
      <c r="I773" s="2" t="s">
        <v>5094</v>
      </c>
      <c r="J773" s="2" t="s">
        <v>15</v>
      </c>
      <c r="K773" s="2" t="s">
        <v>5095</v>
      </c>
    </row>
    <row r="774" spans="1:11" x14ac:dyDescent="0.25">
      <c r="A774" s="2" t="s">
        <v>2822</v>
      </c>
      <c r="B774" s="2" t="str">
        <f>"V1902367029001"</f>
        <v>V1902367029001</v>
      </c>
      <c r="C774" s="2" t="s">
        <v>5096</v>
      </c>
      <c r="D774" s="2" t="s">
        <v>1879</v>
      </c>
      <c r="E774" s="2" t="s">
        <v>5039</v>
      </c>
      <c r="F774" s="2" t="s">
        <v>13</v>
      </c>
      <c r="H774" s="2">
        <v>2011</v>
      </c>
      <c r="I774" s="2" t="s">
        <v>5097</v>
      </c>
      <c r="J774" s="2" t="s">
        <v>15</v>
      </c>
      <c r="K774" s="2" t="s">
        <v>5098</v>
      </c>
    </row>
    <row r="775" spans="1:11" x14ac:dyDescent="0.25">
      <c r="A775" s="2" t="s">
        <v>2822</v>
      </c>
      <c r="B775" s="2" t="str">
        <f>"V6166712201001"</f>
        <v>V6166712201001</v>
      </c>
      <c r="C775" s="2" t="s">
        <v>5099</v>
      </c>
      <c r="D775" s="2" t="s">
        <v>2757</v>
      </c>
      <c r="E775" s="2" t="s">
        <v>5100</v>
      </c>
      <c r="F775" s="2" t="s">
        <v>13</v>
      </c>
      <c r="H775" s="2">
        <v>2020</v>
      </c>
      <c r="I775" s="2" t="s">
        <v>5101</v>
      </c>
      <c r="J775" s="2" t="s">
        <v>15</v>
      </c>
      <c r="K775" s="2" t="s">
        <v>5102</v>
      </c>
    </row>
    <row r="776" spans="1:11" x14ac:dyDescent="0.25">
      <c r="A776" s="2" t="s">
        <v>2822</v>
      </c>
      <c r="B776" s="2" t="str">
        <f>"V6166713991001"</f>
        <v>V6166713991001</v>
      </c>
      <c r="C776" s="2" t="s">
        <v>5103</v>
      </c>
      <c r="D776" s="2" t="s">
        <v>2757</v>
      </c>
      <c r="E776" s="2" t="s">
        <v>5100</v>
      </c>
      <c r="F776" s="2" t="s">
        <v>13</v>
      </c>
      <c r="H776" s="2">
        <v>2020</v>
      </c>
      <c r="I776" s="2" t="s">
        <v>5101</v>
      </c>
      <c r="J776" s="2" t="s">
        <v>15</v>
      </c>
      <c r="K776" s="2" t="s">
        <v>5104</v>
      </c>
    </row>
    <row r="777" spans="1:11" x14ac:dyDescent="0.25">
      <c r="A777" s="2" t="s">
        <v>2822</v>
      </c>
      <c r="B777" s="2" t="str">
        <f>"V6166714184001"</f>
        <v>V6166714184001</v>
      </c>
      <c r="C777" s="2" t="s">
        <v>5105</v>
      </c>
      <c r="D777" s="2" t="s">
        <v>2757</v>
      </c>
      <c r="E777" s="2" t="s">
        <v>5100</v>
      </c>
      <c r="F777" s="2" t="s">
        <v>13</v>
      </c>
      <c r="H777" s="2">
        <v>2020</v>
      </c>
      <c r="I777" s="2" t="s">
        <v>5101</v>
      </c>
      <c r="J777" s="2" t="s">
        <v>15</v>
      </c>
      <c r="K777" s="2" t="s">
        <v>5106</v>
      </c>
    </row>
    <row r="778" spans="1:11" x14ac:dyDescent="0.25">
      <c r="A778" s="2" t="s">
        <v>2822</v>
      </c>
      <c r="B778" s="2" t="str">
        <f>"V6166712103001"</f>
        <v>V6166712103001</v>
      </c>
      <c r="C778" s="2" t="s">
        <v>5107</v>
      </c>
      <c r="D778" s="2" t="s">
        <v>2757</v>
      </c>
      <c r="E778" s="2" t="s">
        <v>5100</v>
      </c>
      <c r="F778" s="2" t="s">
        <v>13</v>
      </c>
      <c r="H778" s="2">
        <v>2020</v>
      </c>
      <c r="I778" s="2" t="s">
        <v>5108</v>
      </c>
      <c r="J778" s="2" t="s">
        <v>15</v>
      </c>
      <c r="K778" s="2" t="s">
        <v>5109</v>
      </c>
    </row>
    <row r="779" spans="1:11" x14ac:dyDescent="0.25">
      <c r="A779" s="2" t="s">
        <v>2822</v>
      </c>
      <c r="B779" s="2" t="str">
        <f>"V6166714086001"</f>
        <v>V6166714086001</v>
      </c>
      <c r="C779" s="2" t="s">
        <v>5110</v>
      </c>
      <c r="D779" s="2" t="s">
        <v>2757</v>
      </c>
      <c r="E779" s="2" t="s">
        <v>5100</v>
      </c>
      <c r="F779" s="2" t="s">
        <v>13</v>
      </c>
      <c r="H779" s="2">
        <v>2020</v>
      </c>
      <c r="I779" s="2" t="s">
        <v>5111</v>
      </c>
      <c r="J779" s="2" t="s">
        <v>15</v>
      </c>
      <c r="K779" s="2" t="s">
        <v>5112</v>
      </c>
    </row>
    <row r="780" spans="1:11" x14ac:dyDescent="0.25">
      <c r="A780" s="2" t="s">
        <v>2822</v>
      </c>
      <c r="B780" s="2" t="str">
        <f>"V6166713992001"</f>
        <v>V6166713992001</v>
      </c>
      <c r="C780" s="2" t="s">
        <v>5113</v>
      </c>
      <c r="D780" s="2" t="s">
        <v>2757</v>
      </c>
      <c r="E780" s="2" t="s">
        <v>5100</v>
      </c>
      <c r="F780" s="2" t="s">
        <v>13</v>
      </c>
      <c r="H780" s="2">
        <v>2020</v>
      </c>
      <c r="I780" s="2" t="s">
        <v>5101</v>
      </c>
      <c r="J780" s="2" t="s">
        <v>15</v>
      </c>
      <c r="K780" s="2" t="s">
        <v>5114</v>
      </c>
    </row>
    <row r="781" spans="1:11" x14ac:dyDescent="0.25">
      <c r="A781" s="2" t="s">
        <v>2822</v>
      </c>
      <c r="B781" s="2" t="str">
        <f>"V6166712202001"</f>
        <v>V6166712202001</v>
      </c>
      <c r="C781" s="2" t="s">
        <v>5115</v>
      </c>
      <c r="D781" s="2" t="s">
        <v>2757</v>
      </c>
      <c r="E781" s="2" t="s">
        <v>5100</v>
      </c>
      <c r="F781" s="2" t="s">
        <v>13</v>
      </c>
      <c r="H781" s="2">
        <v>2020</v>
      </c>
      <c r="I781" s="2" t="s">
        <v>5116</v>
      </c>
      <c r="J781" s="2" t="s">
        <v>15</v>
      </c>
      <c r="K781" s="2" t="s">
        <v>5117</v>
      </c>
    </row>
    <row r="782" spans="1:11" x14ac:dyDescent="0.25">
      <c r="A782" s="2" t="s">
        <v>2822</v>
      </c>
      <c r="B782" s="2" t="str">
        <f>"V6166714186001"</f>
        <v>V6166714186001</v>
      </c>
      <c r="C782" s="2" t="s">
        <v>5118</v>
      </c>
      <c r="D782" s="2" t="s">
        <v>2757</v>
      </c>
      <c r="E782" s="2" t="s">
        <v>5100</v>
      </c>
      <c r="F782" s="2" t="s">
        <v>13</v>
      </c>
      <c r="H782" s="2">
        <v>2020</v>
      </c>
      <c r="I782" s="2" t="s">
        <v>5119</v>
      </c>
      <c r="J782" s="2" t="s">
        <v>15</v>
      </c>
      <c r="K782" s="2" t="s">
        <v>5120</v>
      </c>
    </row>
    <row r="783" spans="1:11" x14ac:dyDescent="0.25">
      <c r="A783" s="2" t="s">
        <v>2822</v>
      </c>
      <c r="B783" s="2" t="str">
        <f>"V6166714185001"</f>
        <v>V6166714185001</v>
      </c>
      <c r="C783" s="2" t="s">
        <v>5121</v>
      </c>
      <c r="D783" s="2" t="s">
        <v>2757</v>
      </c>
      <c r="E783" s="2" t="s">
        <v>5100</v>
      </c>
      <c r="F783" s="2" t="s">
        <v>13</v>
      </c>
      <c r="H783" s="2">
        <v>2020</v>
      </c>
      <c r="I783" s="2" t="s">
        <v>5101</v>
      </c>
      <c r="J783" s="2" t="s">
        <v>15</v>
      </c>
      <c r="K783" s="2" t="s">
        <v>5122</v>
      </c>
    </row>
    <row r="784" spans="1:11" x14ac:dyDescent="0.25">
      <c r="A784" s="2" t="s">
        <v>2822</v>
      </c>
      <c r="B784" s="2" t="str">
        <f>"V6166712104001"</f>
        <v>V6166712104001</v>
      </c>
      <c r="C784" s="2" t="s">
        <v>5123</v>
      </c>
      <c r="D784" s="2" t="s">
        <v>2757</v>
      </c>
      <c r="E784" s="2" t="s">
        <v>5100</v>
      </c>
      <c r="F784" s="2" t="s">
        <v>13</v>
      </c>
      <c r="H784" s="2">
        <v>2020</v>
      </c>
      <c r="I784" s="2" t="s">
        <v>5124</v>
      </c>
      <c r="J784" s="2" t="s">
        <v>15</v>
      </c>
      <c r="K784" s="2" t="s">
        <v>5125</v>
      </c>
    </row>
    <row r="785" spans="1:11" x14ac:dyDescent="0.25">
      <c r="A785" s="2" t="s">
        <v>2822</v>
      </c>
      <c r="B785" s="2" t="str">
        <f>"V6166713993001"</f>
        <v>V6166713993001</v>
      </c>
      <c r="C785" s="2" t="s">
        <v>5126</v>
      </c>
      <c r="D785" s="2" t="s">
        <v>2757</v>
      </c>
      <c r="E785" s="2" t="s">
        <v>5100</v>
      </c>
      <c r="F785" s="2" t="s">
        <v>13</v>
      </c>
      <c r="H785" s="2">
        <v>2020</v>
      </c>
      <c r="I785" s="2" t="s">
        <v>5127</v>
      </c>
      <c r="J785" s="2" t="s">
        <v>15</v>
      </c>
      <c r="K785" s="2" t="s">
        <v>5128</v>
      </c>
    </row>
    <row r="786" spans="1:11" x14ac:dyDescent="0.25">
      <c r="A786" s="2" t="s">
        <v>2822</v>
      </c>
      <c r="B786" s="2" t="str">
        <f>"V6166712105001"</f>
        <v>V6166712105001</v>
      </c>
      <c r="C786" s="2" t="s">
        <v>5129</v>
      </c>
      <c r="D786" s="2" t="s">
        <v>2757</v>
      </c>
      <c r="E786" s="2" t="s">
        <v>5100</v>
      </c>
      <c r="F786" s="2" t="s">
        <v>13</v>
      </c>
      <c r="H786" s="2">
        <v>2020</v>
      </c>
      <c r="I786" s="2" t="s">
        <v>5130</v>
      </c>
      <c r="J786" s="2" t="s">
        <v>15</v>
      </c>
      <c r="K786" s="2" t="s">
        <v>5131</v>
      </c>
    </row>
    <row r="787" spans="1:11" x14ac:dyDescent="0.25">
      <c r="A787" s="2" t="s">
        <v>2822</v>
      </c>
      <c r="B787" s="2" t="str">
        <f>"V6166712100001"</f>
        <v>V6166712100001</v>
      </c>
      <c r="C787" s="2" t="s">
        <v>5132</v>
      </c>
      <c r="D787" s="2" t="s">
        <v>2757</v>
      </c>
      <c r="E787" s="2" t="s">
        <v>5100</v>
      </c>
      <c r="F787" s="2" t="s">
        <v>13</v>
      </c>
      <c r="H787" s="2">
        <v>2020</v>
      </c>
      <c r="I787" s="2" t="s">
        <v>5133</v>
      </c>
      <c r="J787" s="2" t="s">
        <v>15</v>
      </c>
      <c r="K787" s="2" t="s">
        <v>5134</v>
      </c>
    </row>
    <row r="788" spans="1:11" x14ac:dyDescent="0.25">
      <c r="A788" s="2" t="s">
        <v>2822</v>
      </c>
      <c r="B788" s="2" t="str">
        <f>"V6166713988001"</f>
        <v>V6166713988001</v>
      </c>
      <c r="C788" s="2" t="s">
        <v>5135</v>
      </c>
      <c r="D788" s="2" t="s">
        <v>2757</v>
      </c>
      <c r="E788" s="2" t="s">
        <v>5100</v>
      </c>
      <c r="F788" s="2" t="s">
        <v>13</v>
      </c>
      <c r="H788" s="2">
        <v>2020</v>
      </c>
      <c r="I788" s="2" t="s">
        <v>5101</v>
      </c>
      <c r="J788" s="2" t="s">
        <v>15</v>
      </c>
      <c r="K788" s="2" t="s">
        <v>5136</v>
      </c>
    </row>
    <row r="789" spans="1:11" x14ac:dyDescent="0.25">
      <c r="A789" s="2" t="s">
        <v>2822</v>
      </c>
      <c r="B789" s="2" t="str">
        <f>"V6166713987001"</f>
        <v>V6166713987001</v>
      </c>
      <c r="C789" s="2" t="s">
        <v>5137</v>
      </c>
      <c r="D789" s="2" t="s">
        <v>2757</v>
      </c>
      <c r="E789" s="2" t="s">
        <v>5100</v>
      </c>
      <c r="F789" s="2" t="s">
        <v>13</v>
      </c>
      <c r="H789" s="2">
        <v>2020</v>
      </c>
      <c r="I789" s="2" t="s">
        <v>5138</v>
      </c>
      <c r="J789" s="2" t="s">
        <v>15</v>
      </c>
      <c r="K789" s="2" t="s">
        <v>5139</v>
      </c>
    </row>
    <row r="790" spans="1:11" x14ac:dyDescent="0.25">
      <c r="A790" s="2" t="s">
        <v>2822</v>
      </c>
      <c r="B790" s="2" t="str">
        <f>"V6166712199001"</f>
        <v>V6166712199001</v>
      </c>
      <c r="C790" s="2" t="s">
        <v>5140</v>
      </c>
      <c r="D790" s="2" t="s">
        <v>2757</v>
      </c>
      <c r="E790" s="2" t="s">
        <v>5100</v>
      </c>
      <c r="F790" s="2" t="s">
        <v>13</v>
      </c>
      <c r="H790" s="2">
        <v>2020</v>
      </c>
      <c r="I790" s="2" t="s">
        <v>5141</v>
      </c>
      <c r="J790" s="2" t="s">
        <v>15</v>
      </c>
      <c r="K790" s="2" t="s">
        <v>5142</v>
      </c>
    </row>
    <row r="791" spans="1:11" x14ac:dyDescent="0.25">
      <c r="A791" s="2" t="s">
        <v>2822</v>
      </c>
      <c r="B791" s="2" t="str">
        <f>"V6166714181001"</f>
        <v>V6166714181001</v>
      </c>
      <c r="C791" s="2" t="s">
        <v>5143</v>
      </c>
      <c r="D791" s="2" t="s">
        <v>2757</v>
      </c>
      <c r="E791" s="2" t="s">
        <v>5100</v>
      </c>
      <c r="F791" s="2" t="s">
        <v>13</v>
      </c>
      <c r="H791" s="2">
        <v>2020</v>
      </c>
      <c r="I791" s="2" t="s">
        <v>5144</v>
      </c>
      <c r="J791" s="2" t="s">
        <v>15</v>
      </c>
      <c r="K791" s="2" t="s">
        <v>5145</v>
      </c>
    </row>
    <row r="792" spans="1:11" x14ac:dyDescent="0.25">
      <c r="A792" s="2" t="s">
        <v>2822</v>
      </c>
      <c r="B792" s="2" t="str">
        <f>"V6166712101001"</f>
        <v>V6166712101001</v>
      </c>
      <c r="C792" s="2" t="s">
        <v>5146</v>
      </c>
      <c r="D792" s="2" t="s">
        <v>2757</v>
      </c>
      <c r="E792" s="2" t="s">
        <v>5100</v>
      </c>
      <c r="F792" s="2" t="s">
        <v>13</v>
      </c>
      <c r="H792" s="2">
        <v>2020</v>
      </c>
      <c r="I792" s="2" t="s">
        <v>5147</v>
      </c>
      <c r="J792" s="2" t="s">
        <v>15</v>
      </c>
      <c r="K792" s="2" t="s">
        <v>5148</v>
      </c>
    </row>
    <row r="793" spans="1:11" x14ac:dyDescent="0.25">
      <c r="A793" s="2" t="s">
        <v>2822</v>
      </c>
      <c r="B793" s="2" t="str">
        <f>"V6166714084001"</f>
        <v>V6166714084001</v>
      </c>
      <c r="C793" s="2" t="s">
        <v>5149</v>
      </c>
      <c r="D793" s="2" t="s">
        <v>2757</v>
      </c>
      <c r="E793" s="2" t="s">
        <v>5100</v>
      </c>
      <c r="F793" s="2" t="s">
        <v>13</v>
      </c>
      <c r="H793" s="2">
        <v>2020</v>
      </c>
      <c r="I793" s="2" t="s">
        <v>5150</v>
      </c>
      <c r="J793" s="2" t="s">
        <v>15</v>
      </c>
      <c r="K793" s="2" t="s">
        <v>5151</v>
      </c>
    </row>
    <row r="794" spans="1:11" x14ac:dyDescent="0.25">
      <c r="A794" s="2" t="s">
        <v>2822</v>
      </c>
      <c r="B794" s="2" t="str">
        <f>"V6166714182001"</f>
        <v>V6166714182001</v>
      </c>
      <c r="C794" s="2" t="s">
        <v>5152</v>
      </c>
      <c r="D794" s="2" t="s">
        <v>2757</v>
      </c>
      <c r="E794" s="2" t="s">
        <v>5100</v>
      </c>
      <c r="F794" s="2" t="s">
        <v>13</v>
      </c>
      <c r="H794" s="2">
        <v>2020</v>
      </c>
      <c r="I794" s="2" t="s">
        <v>5153</v>
      </c>
      <c r="J794" s="2" t="s">
        <v>15</v>
      </c>
      <c r="K794" s="2" t="s">
        <v>5154</v>
      </c>
    </row>
    <row r="795" spans="1:11" x14ac:dyDescent="0.25">
      <c r="A795" s="2" t="s">
        <v>2822</v>
      </c>
      <c r="B795" s="2" t="str">
        <f>"V6166712102001"</f>
        <v>V6166712102001</v>
      </c>
      <c r="C795" s="2" t="s">
        <v>5155</v>
      </c>
      <c r="D795" s="2" t="s">
        <v>2757</v>
      </c>
      <c r="E795" s="2" t="s">
        <v>5100</v>
      </c>
      <c r="F795" s="2" t="s">
        <v>13</v>
      </c>
      <c r="H795" s="2">
        <v>2020</v>
      </c>
      <c r="I795" s="2" t="s">
        <v>5111</v>
      </c>
      <c r="J795" s="2" t="s">
        <v>15</v>
      </c>
      <c r="K795" s="2" t="s">
        <v>5156</v>
      </c>
    </row>
    <row r="796" spans="1:11" x14ac:dyDescent="0.25">
      <c r="A796" s="2" t="s">
        <v>2822</v>
      </c>
      <c r="B796" s="2" t="str">
        <f>"V6166712200001"</f>
        <v>V6166712200001</v>
      </c>
      <c r="C796" s="2" t="s">
        <v>5157</v>
      </c>
      <c r="D796" s="2" t="s">
        <v>2757</v>
      </c>
      <c r="E796" s="2" t="s">
        <v>5100</v>
      </c>
      <c r="F796" s="2" t="s">
        <v>13</v>
      </c>
      <c r="H796" s="2">
        <v>2020</v>
      </c>
      <c r="I796" s="2" t="s">
        <v>5101</v>
      </c>
      <c r="J796" s="2" t="s">
        <v>15</v>
      </c>
      <c r="K796" s="2" t="s">
        <v>5158</v>
      </c>
    </row>
    <row r="797" spans="1:11" x14ac:dyDescent="0.25">
      <c r="A797" s="2" t="s">
        <v>2822</v>
      </c>
      <c r="B797" s="2" t="str">
        <f>"V6126356795001"</f>
        <v>V6126356795001</v>
      </c>
      <c r="C797" s="2" t="s">
        <v>5159</v>
      </c>
      <c r="D797" s="2" t="s">
        <v>2704</v>
      </c>
      <c r="E797" s="2" t="s">
        <v>2903</v>
      </c>
      <c r="F797" s="2" t="s">
        <v>13</v>
      </c>
      <c r="H797" s="2">
        <v>2019</v>
      </c>
      <c r="I797" s="2" t="s">
        <v>5160</v>
      </c>
      <c r="J797" s="2" t="s">
        <v>15</v>
      </c>
      <c r="K797" s="2" t="s">
        <v>5161</v>
      </c>
    </row>
    <row r="798" spans="1:11" x14ac:dyDescent="0.25">
      <c r="A798" s="2" t="s">
        <v>2822</v>
      </c>
      <c r="B798" s="2" t="str">
        <f>"V6126366698001"</f>
        <v>V6126366698001</v>
      </c>
      <c r="C798" s="2" t="s">
        <v>5162</v>
      </c>
      <c r="D798" s="2" t="s">
        <v>2704</v>
      </c>
      <c r="E798" s="2" t="s">
        <v>2903</v>
      </c>
      <c r="F798" s="2" t="s">
        <v>13</v>
      </c>
      <c r="H798" s="2">
        <v>2019</v>
      </c>
      <c r="I798" s="2" t="s">
        <v>5163</v>
      </c>
      <c r="J798" s="2" t="s">
        <v>15</v>
      </c>
      <c r="K798" s="2" t="s">
        <v>5164</v>
      </c>
    </row>
    <row r="799" spans="1:11" x14ac:dyDescent="0.25">
      <c r="A799" s="2" t="s">
        <v>2822</v>
      </c>
      <c r="B799" s="2" t="str">
        <f>"V6126366440001"</f>
        <v>V6126366440001</v>
      </c>
      <c r="C799" s="2" t="s">
        <v>5165</v>
      </c>
      <c r="D799" s="2" t="s">
        <v>2704</v>
      </c>
      <c r="E799" s="2" t="s">
        <v>2903</v>
      </c>
      <c r="F799" s="2" t="s">
        <v>13</v>
      </c>
      <c r="H799" s="2">
        <v>2019</v>
      </c>
      <c r="I799" s="2" t="s">
        <v>5166</v>
      </c>
      <c r="J799" s="2" t="s">
        <v>15</v>
      </c>
      <c r="K799" s="2" t="s">
        <v>5167</v>
      </c>
    </row>
    <row r="800" spans="1:11" x14ac:dyDescent="0.25">
      <c r="A800" s="2" t="s">
        <v>2822</v>
      </c>
      <c r="B800" s="2" t="str">
        <f>"V6126365704001"</f>
        <v>V6126365704001</v>
      </c>
      <c r="C800" s="2" t="s">
        <v>5168</v>
      </c>
      <c r="D800" s="2" t="s">
        <v>2704</v>
      </c>
      <c r="E800" s="2" t="s">
        <v>2903</v>
      </c>
      <c r="F800" s="2" t="s">
        <v>13</v>
      </c>
      <c r="H800" s="2">
        <v>2019</v>
      </c>
      <c r="I800" s="2" t="s">
        <v>5169</v>
      </c>
      <c r="J800" s="2" t="s">
        <v>15</v>
      </c>
      <c r="K800" s="2" t="s">
        <v>5170</v>
      </c>
    </row>
    <row r="801" spans="1:11" x14ac:dyDescent="0.25">
      <c r="A801" s="2" t="s">
        <v>2822</v>
      </c>
      <c r="B801" s="2" t="str">
        <f>"V6126366448001"</f>
        <v>V6126366448001</v>
      </c>
      <c r="C801" s="2" t="s">
        <v>5171</v>
      </c>
      <c r="D801" s="2" t="s">
        <v>2704</v>
      </c>
      <c r="E801" s="2" t="s">
        <v>2903</v>
      </c>
      <c r="F801" s="2" t="s">
        <v>13</v>
      </c>
      <c r="H801" s="2">
        <v>2019</v>
      </c>
      <c r="I801" s="2" t="s">
        <v>5172</v>
      </c>
      <c r="J801" s="2" t="s">
        <v>15</v>
      </c>
      <c r="K801" s="2" t="s">
        <v>5173</v>
      </c>
    </row>
    <row r="802" spans="1:11" x14ac:dyDescent="0.25">
      <c r="A802" s="2" t="s">
        <v>2822</v>
      </c>
      <c r="B802" s="2" t="str">
        <f>"V6126363828001"</f>
        <v>V6126363828001</v>
      </c>
      <c r="C802" s="2" t="s">
        <v>5174</v>
      </c>
      <c r="D802" s="2" t="s">
        <v>2704</v>
      </c>
      <c r="E802" s="2" t="s">
        <v>2903</v>
      </c>
      <c r="F802" s="2" t="s">
        <v>13</v>
      </c>
      <c r="H802" s="2">
        <v>2019</v>
      </c>
      <c r="I802" s="2" t="s">
        <v>5175</v>
      </c>
      <c r="J802" s="2" t="s">
        <v>15</v>
      </c>
      <c r="K802" s="2" t="s">
        <v>5176</v>
      </c>
    </row>
    <row r="803" spans="1:11" x14ac:dyDescent="0.25">
      <c r="A803" s="2" t="s">
        <v>2822</v>
      </c>
      <c r="B803" s="2" t="str">
        <f>"V6126363834001"</f>
        <v>V6126363834001</v>
      </c>
      <c r="C803" s="2" t="s">
        <v>5177</v>
      </c>
      <c r="D803" s="2" t="s">
        <v>2704</v>
      </c>
      <c r="E803" s="2" t="s">
        <v>2903</v>
      </c>
      <c r="F803" s="2" t="s">
        <v>13</v>
      </c>
      <c r="H803" s="2">
        <v>2019</v>
      </c>
      <c r="I803" s="2" t="s">
        <v>5178</v>
      </c>
      <c r="J803" s="2" t="s">
        <v>15</v>
      </c>
      <c r="K803" s="2" t="s">
        <v>5179</v>
      </c>
    </row>
    <row r="804" spans="1:11" x14ac:dyDescent="0.25">
      <c r="A804" s="2" t="s">
        <v>2822</v>
      </c>
      <c r="B804" s="2" t="str">
        <f>"V6126366458001"</f>
        <v>V6126366458001</v>
      </c>
      <c r="C804" s="2" t="s">
        <v>5180</v>
      </c>
      <c r="D804" s="2" t="s">
        <v>2704</v>
      </c>
      <c r="E804" s="2" t="s">
        <v>2903</v>
      </c>
      <c r="F804" s="2" t="s">
        <v>13</v>
      </c>
      <c r="H804" s="2">
        <v>2019</v>
      </c>
      <c r="I804" s="2" t="s">
        <v>5181</v>
      </c>
      <c r="J804" s="2" t="s">
        <v>15</v>
      </c>
      <c r="K804" s="2" t="s">
        <v>5182</v>
      </c>
    </row>
    <row r="805" spans="1:11" x14ac:dyDescent="0.25">
      <c r="A805" s="2" t="s">
        <v>2822</v>
      </c>
      <c r="B805" s="2" t="str">
        <f>"V6126367116001"</f>
        <v>V6126367116001</v>
      </c>
      <c r="C805" s="2" t="s">
        <v>5183</v>
      </c>
      <c r="D805" s="2" t="s">
        <v>2704</v>
      </c>
      <c r="E805" s="2" t="s">
        <v>2903</v>
      </c>
      <c r="F805" s="2" t="s">
        <v>13</v>
      </c>
      <c r="H805" s="2">
        <v>2019</v>
      </c>
      <c r="I805" s="2" t="s">
        <v>5184</v>
      </c>
      <c r="J805" s="2" t="s">
        <v>15</v>
      </c>
      <c r="K805" s="2" t="s">
        <v>5185</v>
      </c>
    </row>
    <row r="806" spans="1:11" x14ac:dyDescent="0.25">
      <c r="A806" s="2" t="s">
        <v>2822</v>
      </c>
      <c r="B806" s="2" t="str">
        <f>"V6126368004001"</f>
        <v>V6126368004001</v>
      </c>
      <c r="C806" s="2" t="s">
        <v>5186</v>
      </c>
      <c r="D806" s="2" t="s">
        <v>2704</v>
      </c>
      <c r="E806" s="2" t="s">
        <v>2903</v>
      </c>
      <c r="F806" s="2" t="s">
        <v>13</v>
      </c>
      <c r="H806" s="2">
        <v>2019</v>
      </c>
      <c r="I806" s="2" t="s">
        <v>5187</v>
      </c>
      <c r="J806" s="2" t="s">
        <v>15</v>
      </c>
      <c r="K806" s="2" t="s">
        <v>5188</v>
      </c>
    </row>
    <row r="807" spans="1:11" x14ac:dyDescent="0.25">
      <c r="A807" s="2" t="s">
        <v>2822</v>
      </c>
      <c r="B807" s="2" t="str">
        <f>"V6126368455001"</f>
        <v>V6126368455001</v>
      </c>
      <c r="C807" s="2" t="s">
        <v>5189</v>
      </c>
      <c r="D807" s="2" t="s">
        <v>2704</v>
      </c>
      <c r="E807" s="2" t="s">
        <v>2903</v>
      </c>
      <c r="F807" s="2" t="s">
        <v>13</v>
      </c>
      <c r="H807" s="2">
        <v>2019</v>
      </c>
      <c r="I807" s="2" t="s">
        <v>5190</v>
      </c>
      <c r="J807" s="2" t="s">
        <v>15</v>
      </c>
      <c r="K807" s="2" t="s">
        <v>5191</v>
      </c>
    </row>
    <row r="808" spans="1:11" x14ac:dyDescent="0.25">
      <c r="A808" s="2" t="s">
        <v>2822</v>
      </c>
      <c r="B808" s="2" t="str">
        <f>"V6126367121001"</f>
        <v>V6126367121001</v>
      </c>
      <c r="C808" s="2" t="s">
        <v>5192</v>
      </c>
      <c r="D808" s="2" t="s">
        <v>2704</v>
      </c>
      <c r="E808" s="2" t="s">
        <v>2903</v>
      </c>
      <c r="F808" s="2" t="s">
        <v>13</v>
      </c>
      <c r="H808" s="2">
        <v>2019</v>
      </c>
      <c r="I808" s="2" t="s">
        <v>5193</v>
      </c>
      <c r="J808" s="2" t="s">
        <v>15</v>
      </c>
      <c r="K808" s="2" t="s">
        <v>5194</v>
      </c>
    </row>
    <row r="809" spans="1:11" x14ac:dyDescent="0.25">
      <c r="A809" s="2" t="s">
        <v>2822</v>
      </c>
      <c r="B809" s="2" t="str">
        <f>"V6126365868001"</f>
        <v>V6126365868001</v>
      </c>
      <c r="C809" s="2" t="s">
        <v>5195</v>
      </c>
      <c r="D809" s="2" t="s">
        <v>2704</v>
      </c>
      <c r="E809" s="2" t="s">
        <v>2903</v>
      </c>
      <c r="F809" s="2" t="s">
        <v>13</v>
      </c>
      <c r="H809" s="2">
        <v>2019</v>
      </c>
      <c r="I809" s="2" t="s">
        <v>5196</v>
      </c>
      <c r="J809" s="2" t="s">
        <v>15</v>
      </c>
      <c r="K809" s="2" t="s">
        <v>5197</v>
      </c>
    </row>
    <row r="810" spans="1:11" x14ac:dyDescent="0.25">
      <c r="A810" s="2" t="s">
        <v>2822</v>
      </c>
      <c r="B810" s="2" t="str">
        <f>"V6126363039001"</f>
        <v>V6126363039001</v>
      </c>
      <c r="C810" s="2" t="s">
        <v>5198</v>
      </c>
      <c r="D810" s="2" t="s">
        <v>2704</v>
      </c>
      <c r="E810" s="2" t="s">
        <v>2903</v>
      </c>
      <c r="F810" s="2" t="s">
        <v>13</v>
      </c>
      <c r="H810" s="2">
        <v>2019</v>
      </c>
      <c r="I810" s="2" t="s">
        <v>5199</v>
      </c>
      <c r="J810" s="2" t="s">
        <v>15</v>
      </c>
      <c r="K810" s="2" t="s">
        <v>5200</v>
      </c>
    </row>
    <row r="811" spans="1:11" x14ac:dyDescent="0.25">
      <c r="A811" s="2" t="s">
        <v>2822</v>
      </c>
      <c r="B811" s="2" t="str">
        <f>"V6126359823001"</f>
        <v>V6126359823001</v>
      </c>
      <c r="C811" s="2" t="s">
        <v>5201</v>
      </c>
      <c r="D811" s="2" t="s">
        <v>2704</v>
      </c>
      <c r="E811" s="2" t="s">
        <v>2903</v>
      </c>
      <c r="F811" s="2" t="s">
        <v>13</v>
      </c>
      <c r="H811" s="2">
        <v>2019</v>
      </c>
      <c r="I811" s="2" t="s">
        <v>5202</v>
      </c>
      <c r="J811" s="2" t="s">
        <v>15</v>
      </c>
      <c r="K811" s="2" t="s">
        <v>5203</v>
      </c>
    </row>
    <row r="812" spans="1:11" x14ac:dyDescent="0.25">
      <c r="A812" s="2" t="s">
        <v>2822</v>
      </c>
      <c r="B812" s="2" t="str">
        <f>"V6126362626001"</f>
        <v>V6126362626001</v>
      </c>
      <c r="C812" s="2" t="s">
        <v>5204</v>
      </c>
      <c r="D812" s="2" t="s">
        <v>2704</v>
      </c>
      <c r="E812" s="2" t="s">
        <v>2903</v>
      </c>
      <c r="F812" s="2" t="s">
        <v>13</v>
      </c>
      <c r="H812" s="2">
        <v>2019</v>
      </c>
      <c r="I812" s="2" t="s">
        <v>5205</v>
      </c>
      <c r="J812" s="2" t="s">
        <v>15</v>
      </c>
      <c r="K812" s="2" t="s">
        <v>5206</v>
      </c>
    </row>
    <row r="813" spans="1:11" x14ac:dyDescent="0.25">
      <c r="A813" s="2" t="s">
        <v>2822</v>
      </c>
      <c r="B813" s="2" t="str">
        <f>"V6126367132001"</f>
        <v>V6126367132001</v>
      </c>
      <c r="C813" s="2" t="s">
        <v>5207</v>
      </c>
      <c r="D813" s="2" t="s">
        <v>2704</v>
      </c>
      <c r="E813" s="2" t="s">
        <v>2903</v>
      </c>
      <c r="F813" s="2" t="s">
        <v>13</v>
      </c>
      <c r="H813" s="2">
        <v>2019</v>
      </c>
      <c r="I813" s="2" t="s">
        <v>5208</v>
      </c>
      <c r="J813" s="2" t="s">
        <v>15</v>
      </c>
      <c r="K813" s="2" t="s">
        <v>5209</v>
      </c>
    </row>
    <row r="814" spans="1:11" x14ac:dyDescent="0.25">
      <c r="A814" s="2" t="s">
        <v>2822</v>
      </c>
      <c r="B814" s="2" t="str">
        <f>"V6126362631001"</f>
        <v>V6126362631001</v>
      </c>
      <c r="C814" s="2" t="s">
        <v>5210</v>
      </c>
      <c r="D814" s="2" t="s">
        <v>2704</v>
      </c>
      <c r="E814" s="2" t="s">
        <v>2903</v>
      </c>
      <c r="F814" s="2" t="s">
        <v>13</v>
      </c>
      <c r="H814" s="2">
        <v>2019</v>
      </c>
      <c r="I814" s="2" t="s">
        <v>5211</v>
      </c>
      <c r="J814" s="2" t="s">
        <v>15</v>
      </c>
      <c r="K814" s="2" t="s">
        <v>5212</v>
      </c>
    </row>
    <row r="815" spans="1:11" x14ac:dyDescent="0.25">
      <c r="A815" s="2" t="s">
        <v>2822</v>
      </c>
      <c r="B815" s="2" t="str">
        <f>"V6126363047001"</f>
        <v>V6126363047001</v>
      </c>
      <c r="C815" s="2" t="s">
        <v>5213</v>
      </c>
      <c r="D815" s="2" t="s">
        <v>2704</v>
      </c>
      <c r="E815" s="2" t="s">
        <v>2903</v>
      </c>
      <c r="F815" s="2" t="s">
        <v>13</v>
      </c>
      <c r="H815" s="2">
        <v>2019</v>
      </c>
      <c r="I815" s="2" t="s">
        <v>5214</v>
      </c>
      <c r="J815" s="2" t="s">
        <v>15</v>
      </c>
      <c r="K815" s="2" t="s">
        <v>5215</v>
      </c>
    </row>
    <row r="816" spans="1:11" x14ac:dyDescent="0.25">
      <c r="A816" s="2" t="s">
        <v>2822</v>
      </c>
      <c r="B816" s="2" t="str">
        <f>"V6126362634001"</f>
        <v>V6126362634001</v>
      </c>
      <c r="C816" s="2" t="s">
        <v>5216</v>
      </c>
      <c r="D816" s="2" t="s">
        <v>2704</v>
      </c>
      <c r="E816" s="2" t="s">
        <v>2903</v>
      </c>
      <c r="F816" s="2" t="s">
        <v>13</v>
      </c>
      <c r="H816" s="2">
        <v>2019</v>
      </c>
      <c r="I816" s="2" t="s">
        <v>5217</v>
      </c>
      <c r="J816" s="2" t="s">
        <v>15</v>
      </c>
      <c r="K816" s="2" t="s">
        <v>5218</v>
      </c>
    </row>
    <row r="817" spans="1:11" x14ac:dyDescent="0.25">
      <c r="A817" s="2" t="s">
        <v>2822</v>
      </c>
      <c r="B817" s="2" t="str">
        <f>"V6126368475001"</f>
        <v>V6126368475001</v>
      </c>
      <c r="C817" s="2" t="s">
        <v>5219</v>
      </c>
      <c r="D817" s="2" t="s">
        <v>2704</v>
      </c>
      <c r="E817" s="2" t="s">
        <v>2903</v>
      </c>
      <c r="F817" s="2" t="s">
        <v>13</v>
      </c>
      <c r="H817" s="2">
        <v>2019</v>
      </c>
      <c r="I817" s="2" t="s">
        <v>5220</v>
      </c>
      <c r="J817" s="2" t="s">
        <v>15</v>
      </c>
      <c r="K817" s="2" t="s">
        <v>5221</v>
      </c>
    </row>
    <row r="818" spans="1:11" x14ac:dyDescent="0.25">
      <c r="A818" s="2" t="s">
        <v>2822</v>
      </c>
      <c r="B818" s="2" t="str">
        <f>"V6126363057001"</f>
        <v>V6126363057001</v>
      </c>
      <c r="C818" s="2" t="s">
        <v>5222</v>
      </c>
      <c r="D818" s="2" t="s">
        <v>2704</v>
      </c>
      <c r="E818" s="2" t="s">
        <v>2903</v>
      </c>
      <c r="F818" s="2" t="s">
        <v>13</v>
      </c>
      <c r="H818" s="2">
        <v>2019</v>
      </c>
      <c r="I818" s="2" t="s">
        <v>5223</v>
      </c>
      <c r="J818" s="2" t="s">
        <v>15</v>
      </c>
      <c r="K818" s="2" t="s">
        <v>5224</v>
      </c>
    </row>
    <row r="819" spans="1:11" x14ac:dyDescent="0.25">
      <c r="A819" s="2" t="s">
        <v>2822</v>
      </c>
      <c r="B819" s="2" t="str">
        <f>"V6126363058001"</f>
        <v>V6126363058001</v>
      </c>
      <c r="C819" s="2" t="s">
        <v>5225</v>
      </c>
      <c r="D819" s="2" t="s">
        <v>2704</v>
      </c>
      <c r="E819" s="2" t="s">
        <v>2903</v>
      </c>
      <c r="F819" s="2" t="s">
        <v>13</v>
      </c>
      <c r="H819" s="2">
        <v>2019</v>
      </c>
      <c r="I819" s="2" t="s">
        <v>5226</v>
      </c>
      <c r="J819" s="2" t="s">
        <v>15</v>
      </c>
      <c r="K819" s="2" t="s">
        <v>5227</v>
      </c>
    </row>
    <row r="820" spans="1:11" x14ac:dyDescent="0.25">
      <c r="A820" s="2" t="s">
        <v>2822</v>
      </c>
      <c r="B820" s="2" t="str">
        <f>"V2929150800001"</f>
        <v>V2929150800001</v>
      </c>
      <c r="C820" s="2" t="s">
        <v>5228</v>
      </c>
      <c r="D820" s="2" t="s">
        <v>5229</v>
      </c>
      <c r="E820" s="2" t="s">
        <v>2903</v>
      </c>
      <c r="F820" s="2" t="s">
        <v>13</v>
      </c>
      <c r="H820" s="2">
        <v>2013</v>
      </c>
      <c r="I820" s="2" t="s">
        <v>5230</v>
      </c>
      <c r="J820" s="2" t="s">
        <v>15</v>
      </c>
      <c r="K820" s="2" t="s">
        <v>5231</v>
      </c>
    </row>
    <row r="821" spans="1:11" x14ac:dyDescent="0.25">
      <c r="A821" s="2" t="s">
        <v>2822</v>
      </c>
      <c r="B821" s="2" t="str">
        <f>"V2929150801001"</f>
        <v>V2929150801001</v>
      </c>
      <c r="C821" s="2" t="s">
        <v>5232</v>
      </c>
      <c r="D821" s="2" t="s">
        <v>5229</v>
      </c>
      <c r="E821" s="2" t="s">
        <v>2903</v>
      </c>
      <c r="F821" s="2" t="s">
        <v>13</v>
      </c>
      <c r="H821" s="2">
        <v>2013</v>
      </c>
      <c r="I821" s="2" t="s">
        <v>5233</v>
      </c>
      <c r="J821" s="2" t="s">
        <v>15</v>
      </c>
      <c r="K821" s="2" t="s">
        <v>5234</v>
      </c>
    </row>
    <row r="822" spans="1:11" x14ac:dyDescent="0.25">
      <c r="A822" s="2" t="s">
        <v>2822</v>
      </c>
      <c r="B822" s="2" t="str">
        <f>"V2929150802001"</f>
        <v>V2929150802001</v>
      </c>
      <c r="C822" s="2" t="s">
        <v>5235</v>
      </c>
      <c r="D822" s="2" t="s">
        <v>5229</v>
      </c>
      <c r="E822" s="2" t="s">
        <v>2903</v>
      </c>
      <c r="F822" s="2" t="s">
        <v>13</v>
      </c>
      <c r="H822" s="2">
        <v>2013</v>
      </c>
      <c r="I822" s="2" t="s">
        <v>5236</v>
      </c>
      <c r="J822" s="2" t="s">
        <v>15</v>
      </c>
      <c r="K822" s="2" t="s">
        <v>5237</v>
      </c>
    </row>
    <row r="823" spans="1:11" x14ac:dyDescent="0.25">
      <c r="A823" s="2" t="s">
        <v>2822</v>
      </c>
      <c r="B823" s="2" t="str">
        <f>"V2929150798001"</f>
        <v>V2929150798001</v>
      </c>
      <c r="C823" s="2" t="s">
        <v>5238</v>
      </c>
      <c r="D823" s="2" t="s">
        <v>5229</v>
      </c>
      <c r="E823" s="2" t="s">
        <v>2903</v>
      </c>
      <c r="F823" s="2" t="s">
        <v>13</v>
      </c>
      <c r="H823" s="2">
        <v>2013</v>
      </c>
      <c r="I823" s="2" t="s">
        <v>5239</v>
      </c>
      <c r="J823" s="2" t="s">
        <v>15</v>
      </c>
      <c r="K823" s="2" t="s">
        <v>5240</v>
      </c>
    </row>
    <row r="824" spans="1:11" x14ac:dyDescent="0.25">
      <c r="A824" s="2" t="s">
        <v>2822</v>
      </c>
      <c r="B824" s="2" t="str">
        <f>"V2929150803001"</f>
        <v>V2929150803001</v>
      </c>
      <c r="C824" s="2" t="s">
        <v>5241</v>
      </c>
      <c r="D824" s="2" t="s">
        <v>5229</v>
      </c>
      <c r="E824" s="2" t="s">
        <v>2903</v>
      </c>
      <c r="F824" s="2" t="s">
        <v>13</v>
      </c>
      <c r="H824" s="2">
        <v>2013</v>
      </c>
      <c r="I824" s="2" t="s">
        <v>5242</v>
      </c>
      <c r="J824" s="2" t="s">
        <v>15</v>
      </c>
      <c r="K824" s="2" t="s">
        <v>5243</v>
      </c>
    </row>
    <row r="825" spans="1:11" x14ac:dyDescent="0.25">
      <c r="A825" s="2" t="s">
        <v>2822</v>
      </c>
      <c r="B825" s="2" t="str">
        <f>"V2929150804001"</f>
        <v>V2929150804001</v>
      </c>
      <c r="C825" s="2" t="s">
        <v>5244</v>
      </c>
      <c r="D825" s="2" t="s">
        <v>5229</v>
      </c>
      <c r="E825" s="2" t="s">
        <v>2903</v>
      </c>
      <c r="F825" s="2" t="s">
        <v>13</v>
      </c>
      <c r="H825" s="2">
        <v>2013</v>
      </c>
      <c r="I825" s="2" t="s">
        <v>5245</v>
      </c>
      <c r="J825" s="2" t="s">
        <v>15</v>
      </c>
      <c r="K825" s="2" t="s">
        <v>5246</v>
      </c>
    </row>
    <row r="826" spans="1:11" x14ac:dyDescent="0.25">
      <c r="A826" s="2" t="s">
        <v>2822</v>
      </c>
      <c r="B826" s="2" t="str">
        <f>"V2929150805001"</f>
        <v>V2929150805001</v>
      </c>
      <c r="C826" s="2" t="s">
        <v>5247</v>
      </c>
      <c r="D826" s="2" t="s">
        <v>5229</v>
      </c>
      <c r="E826" s="2" t="s">
        <v>2903</v>
      </c>
      <c r="F826" s="2" t="s">
        <v>13</v>
      </c>
      <c r="H826" s="2">
        <v>2013</v>
      </c>
      <c r="I826" s="2" t="s">
        <v>5248</v>
      </c>
      <c r="J826" s="2" t="s">
        <v>15</v>
      </c>
      <c r="K826" s="2" t="s">
        <v>5249</v>
      </c>
    </row>
    <row r="827" spans="1:11" x14ac:dyDescent="0.25">
      <c r="A827" s="2" t="s">
        <v>2822</v>
      </c>
      <c r="B827" s="2" t="str">
        <f>"V2929150806001"</f>
        <v>V2929150806001</v>
      </c>
      <c r="C827" s="2" t="s">
        <v>5250</v>
      </c>
      <c r="D827" s="2" t="s">
        <v>5229</v>
      </c>
      <c r="E827" s="2" t="s">
        <v>2903</v>
      </c>
      <c r="F827" s="2" t="s">
        <v>13</v>
      </c>
      <c r="H827" s="2">
        <v>2013</v>
      </c>
      <c r="I827" s="2" t="s">
        <v>5251</v>
      </c>
      <c r="J827" s="2" t="s">
        <v>15</v>
      </c>
      <c r="K827" s="2" t="s">
        <v>5252</v>
      </c>
    </row>
    <row r="828" spans="1:11" x14ac:dyDescent="0.25">
      <c r="A828" s="2" t="s">
        <v>2822</v>
      </c>
      <c r="B828" s="2" t="str">
        <f>"V2929150807001"</f>
        <v>V2929150807001</v>
      </c>
      <c r="C828" s="2" t="s">
        <v>5253</v>
      </c>
      <c r="D828" s="2" t="s">
        <v>5229</v>
      </c>
      <c r="E828" s="2" t="s">
        <v>2903</v>
      </c>
      <c r="F828" s="2" t="s">
        <v>13</v>
      </c>
      <c r="H828" s="2">
        <v>2013</v>
      </c>
      <c r="I828" s="2" t="s">
        <v>5254</v>
      </c>
      <c r="J828" s="2" t="s">
        <v>15</v>
      </c>
      <c r="K828" s="2" t="s">
        <v>5255</v>
      </c>
    </row>
    <row r="829" spans="1:11" x14ac:dyDescent="0.25">
      <c r="A829" s="2" t="s">
        <v>2822</v>
      </c>
      <c r="B829" s="2" t="str">
        <f>"V2929150808001"</f>
        <v>V2929150808001</v>
      </c>
      <c r="C829" s="2" t="s">
        <v>5256</v>
      </c>
      <c r="D829" s="2" t="s">
        <v>5229</v>
      </c>
      <c r="E829" s="2" t="s">
        <v>2903</v>
      </c>
      <c r="F829" s="2" t="s">
        <v>13</v>
      </c>
      <c r="H829" s="2">
        <v>2013</v>
      </c>
      <c r="I829" s="2" t="s">
        <v>5257</v>
      </c>
      <c r="J829" s="2" t="s">
        <v>15</v>
      </c>
      <c r="K829" s="2" t="s">
        <v>5258</v>
      </c>
    </row>
    <row r="830" spans="1:11" x14ac:dyDescent="0.25">
      <c r="A830" s="2" t="s">
        <v>2822</v>
      </c>
      <c r="B830" s="2" t="str">
        <f>"V2929150809001"</f>
        <v>V2929150809001</v>
      </c>
      <c r="C830" s="2" t="s">
        <v>5259</v>
      </c>
      <c r="D830" s="2" t="s">
        <v>5229</v>
      </c>
      <c r="E830" s="2" t="s">
        <v>2903</v>
      </c>
      <c r="F830" s="2" t="s">
        <v>13</v>
      </c>
      <c r="H830" s="2">
        <v>2013</v>
      </c>
      <c r="I830" s="2" t="s">
        <v>5260</v>
      </c>
      <c r="J830" s="2" t="s">
        <v>15</v>
      </c>
      <c r="K830" s="2" t="s">
        <v>5261</v>
      </c>
    </row>
    <row r="831" spans="1:11" x14ac:dyDescent="0.25">
      <c r="A831" s="2" t="s">
        <v>2822</v>
      </c>
      <c r="B831" s="2" t="str">
        <f>"V2929150810001"</f>
        <v>V2929150810001</v>
      </c>
      <c r="C831" s="2" t="s">
        <v>5262</v>
      </c>
      <c r="D831" s="2" t="s">
        <v>5229</v>
      </c>
      <c r="E831" s="2" t="s">
        <v>2903</v>
      </c>
      <c r="F831" s="2" t="s">
        <v>13</v>
      </c>
      <c r="H831" s="2">
        <v>2013</v>
      </c>
      <c r="I831" s="2" t="s">
        <v>5263</v>
      </c>
      <c r="J831" s="2" t="s">
        <v>15</v>
      </c>
      <c r="K831" s="2" t="s">
        <v>5264</v>
      </c>
    </row>
    <row r="832" spans="1:11" x14ac:dyDescent="0.25">
      <c r="A832" s="2" t="s">
        <v>2822</v>
      </c>
      <c r="B832" s="2" t="str">
        <f>"V2929150811001"</f>
        <v>V2929150811001</v>
      </c>
      <c r="C832" s="2" t="s">
        <v>5265</v>
      </c>
      <c r="D832" s="2" t="s">
        <v>5229</v>
      </c>
      <c r="E832" s="2" t="s">
        <v>2903</v>
      </c>
      <c r="F832" s="2" t="s">
        <v>13</v>
      </c>
      <c r="H832" s="2">
        <v>2013</v>
      </c>
      <c r="I832" s="2" t="s">
        <v>5266</v>
      </c>
      <c r="J832" s="2" t="s">
        <v>15</v>
      </c>
      <c r="K832" s="2" t="s">
        <v>5267</v>
      </c>
    </row>
    <row r="833" spans="1:11" x14ac:dyDescent="0.25">
      <c r="A833" s="2" t="s">
        <v>2822</v>
      </c>
      <c r="B833" s="2" t="str">
        <f>"V2929150812001"</f>
        <v>V2929150812001</v>
      </c>
      <c r="C833" s="2" t="s">
        <v>5268</v>
      </c>
      <c r="D833" s="2" t="s">
        <v>5229</v>
      </c>
      <c r="E833" s="2" t="s">
        <v>2903</v>
      </c>
      <c r="F833" s="2" t="s">
        <v>13</v>
      </c>
      <c r="H833" s="2">
        <v>2013</v>
      </c>
      <c r="I833" s="2" t="s">
        <v>5269</v>
      </c>
      <c r="J833" s="2" t="s">
        <v>15</v>
      </c>
      <c r="K833" s="2" t="s">
        <v>5270</v>
      </c>
    </row>
    <row r="834" spans="1:11" x14ac:dyDescent="0.25">
      <c r="A834" s="2" t="s">
        <v>2822</v>
      </c>
      <c r="B834" s="2" t="str">
        <f>"V2929150813001"</f>
        <v>V2929150813001</v>
      </c>
      <c r="C834" s="2" t="s">
        <v>5271</v>
      </c>
      <c r="D834" s="2" t="s">
        <v>5229</v>
      </c>
      <c r="E834" s="2" t="s">
        <v>2903</v>
      </c>
      <c r="F834" s="2" t="s">
        <v>13</v>
      </c>
      <c r="H834" s="2">
        <v>2013</v>
      </c>
      <c r="I834" s="2" t="s">
        <v>5272</v>
      </c>
      <c r="J834" s="2" t="s">
        <v>15</v>
      </c>
      <c r="K834" s="2" t="s">
        <v>5273</v>
      </c>
    </row>
    <row r="835" spans="1:11" x14ac:dyDescent="0.25">
      <c r="A835" s="2" t="s">
        <v>2822</v>
      </c>
      <c r="B835" s="2" t="str">
        <f>"V2929150814001"</f>
        <v>V2929150814001</v>
      </c>
      <c r="C835" s="2" t="s">
        <v>5274</v>
      </c>
      <c r="D835" s="2" t="s">
        <v>5229</v>
      </c>
      <c r="E835" s="2" t="s">
        <v>2903</v>
      </c>
      <c r="F835" s="2" t="s">
        <v>13</v>
      </c>
      <c r="H835" s="2">
        <v>2013</v>
      </c>
      <c r="I835" s="2" t="s">
        <v>5275</v>
      </c>
      <c r="J835" s="2" t="s">
        <v>15</v>
      </c>
      <c r="K835" s="2" t="s">
        <v>5276</v>
      </c>
    </row>
    <row r="836" spans="1:11" x14ac:dyDescent="0.25">
      <c r="A836" s="2" t="s">
        <v>2822</v>
      </c>
      <c r="B836" s="2" t="str">
        <f>"V2929150815001"</f>
        <v>V2929150815001</v>
      </c>
      <c r="C836" s="2" t="s">
        <v>5277</v>
      </c>
      <c r="D836" s="2" t="s">
        <v>5229</v>
      </c>
      <c r="E836" s="2" t="s">
        <v>2903</v>
      </c>
      <c r="F836" s="2" t="s">
        <v>13</v>
      </c>
      <c r="H836" s="2">
        <v>2013</v>
      </c>
      <c r="I836" s="2" t="s">
        <v>5278</v>
      </c>
      <c r="J836" s="2" t="s">
        <v>15</v>
      </c>
      <c r="K836" s="2" t="s">
        <v>5279</v>
      </c>
    </row>
    <row r="837" spans="1:11" x14ac:dyDescent="0.25">
      <c r="A837" s="2" t="s">
        <v>2822</v>
      </c>
      <c r="B837" s="2" t="str">
        <f>"V2929150816001"</f>
        <v>V2929150816001</v>
      </c>
      <c r="C837" s="2" t="s">
        <v>5280</v>
      </c>
      <c r="D837" s="2" t="s">
        <v>5229</v>
      </c>
      <c r="E837" s="2" t="s">
        <v>2903</v>
      </c>
      <c r="F837" s="2" t="s">
        <v>13</v>
      </c>
      <c r="H837" s="2">
        <v>2013</v>
      </c>
      <c r="I837" s="2" t="s">
        <v>5281</v>
      </c>
      <c r="J837" s="2" t="s">
        <v>15</v>
      </c>
      <c r="K837" s="2" t="s">
        <v>5282</v>
      </c>
    </row>
    <row r="838" spans="1:11" x14ac:dyDescent="0.25">
      <c r="A838" s="2" t="s">
        <v>2822</v>
      </c>
      <c r="B838" s="2" t="str">
        <f>"V2929150799001"</f>
        <v>V2929150799001</v>
      </c>
      <c r="C838" s="2" t="s">
        <v>5283</v>
      </c>
      <c r="D838" s="2" t="s">
        <v>5229</v>
      </c>
      <c r="E838" s="2" t="s">
        <v>2903</v>
      </c>
      <c r="F838" s="2" t="s">
        <v>13</v>
      </c>
      <c r="H838" s="2">
        <v>2013</v>
      </c>
      <c r="I838" s="2" t="s">
        <v>5284</v>
      </c>
      <c r="J838" s="2" t="s">
        <v>15</v>
      </c>
      <c r="K838" s="2" t="s">
        <v>5285</v>
      </c>
    </row>
    <row r="839" spans="1:11" x14ac:dyDescent="0.25">
      <c r="A839" s="2" t="s">
        <v>2822</v>
      </c>
      <c r="B839" s="2" t="str">
        <f>"V2929150817001"</f>
        <v>V2929150817001</v>
      </c>
      <c r="C839" s="2" t="s">
        <v>5286</v>
      </c>
      <c r="D839" s="2" t="s">
        <v>5229</v>
      </c>
      <c r="E839" s="2" t="s">
        <v>2903</v>
      </c>
      <c r="F839" s="2" t="s">
        <v>13</v>
      </c>
      <c r="H839" s="2">
        <v>2013</v>
      </c>
      <c r="I839" s="2" t="s">
        <v>5287</v>
      </c>
      <c r="J839" s="2" t="s">
        <v>15</v>
      </c>
      <c r="K839" s="2" t="s">
        <v>5288</v>
      </c>
    </row>
    <row r="840" spans="1:11" x14ac:dyDescent="0.25">
      <c r="A840" s="2" t="s">
        <v>2822</v>
      </c>
      <c r="B840" s="2" t="str">
        <f>"V6224898164001"</f>
        <v>V6224898164001</v>
      </c>
      <c r="C840" s="2" t="s">
        <v>5289</v>
      </c>
      <c r="D840" s="2" t="s">
        <v>2784</v>
      </c>
      <c r="E840" s="2" t="s">
        <v>4394</v>
      </c>
      <c r="F840" s="2" t="s">
        <v>13</v>
      </c>
      <c r="H840" s="2">
        <v>2021</v>
      </c>
      <c r="I840" s="2" t="s">
        <v>5290</v>
      </c>
      <c r="J840" s="2" t="s">
        <v>15</v>
      </c>
      <c r="K840" s="2" t="s">
        <v>5291</v>
      </c>
    </row>
    <row r="841" spans="1:11" x14ac:dyDescent="0.25">
      <c r="A841" s="2" t="s">
        <v>2822</v>
      </c>
      <c r="B841" s="2" t="str">
        <f>"V6224888003001"</f>
        <v>V6224888003001</v>
      </c>
      <c r="C841" s="2" t="s">
        <v>5292</v>
      </c>
      <c r="D841" s="2" t="s">
        <v>2784</v>
      </c>
      <c r="E841" s="2" t="s">
        <v>4394</v>
      </c>
      <c r="F841" s="2" t="s">
        <v>13</v>
      </c>
      <c r="H841" s="2">
        <v>2021</v>
      </c>
      <c r="I841" s="2" t="s">
        <v>5293</v>
      </c>
      <c r="J841" s="2" t="s">
        <v>15</v>
      </c>
      <c r="K841" s="2" t="s">
        <v>5294</v>
      </c>
    </row>
    <row r="842" spans="1:11" x14ac:dyDescent="0.25">
      <c r="A842" s="2" t="s">
        <v>2822</v>
      </c>
      <c r="B842" s="2" t="str">
        <f>"V6224878438001"</f>
        <v>V6224878438001</v>
      </c>
      <c r="C842" s="2" t="s">
        <v>5295</v>
      </c>
      <c r="D842" s="2" t="s">
        <v>2784</v>
      </c>
      <c r="E842" s="2" t="s">
        <v>4394</v>
      </c>
      <c r="F842" s="2" t="s">
        <v>13</v>
      </c>
      <c r="H842" s="2">
        <v>2021</v>
      </c>
      <c r="I842" s="2" t="s">
        <v>5296</v>
      </c>
      <c r="J842" s="2" t="s">
        <v>15</v>
      </c>
      <c r="K842" s="2" t="s">
        <v>5297</v>
      </c>
    </row>
    <row r="843" spans="1:11" x14ac:dyDescent="0.25">
      <c r="A843" s="2" t="s">
        <v>2822</v>
      </c>
      <c r="B843" s="2" t="str">
        <f>"V6224931349001"</f>
        <v>V6224931349001</v>
      </c>
      <c r="C843" s="2" t="s">
        <v>5298</v>
      </c>
      <c r="D843" s="2" t="s">
        <v>2784</v>
      </c>
      <c r="E843" s="2" t="s">
        <v>4394</v>
      </c>
      <c r="F843" s="2" t="s">
        <v>13</v>
      </c>
      <c r="H843" s="2">
        <v>2021</v>
      </c>
      <c r="I843" s="2" t="s">
        <v>5299</v>
      </c>
      <c r="J843" s="2" t="s">
        <v>15</v>
      </c>
      <c r="K843" s="2" t="s">
        <v>5300</v>
      </c>
    </row>
    <row r="844" spans="1:11" x14ac:dyDescent="0.25">
      <c r="A844" s="2" t="s">
        <v>2822</v>
      </c>
      <c r="B844" s="2" t="str">
        <f>"V6224884687001"</f>
        <v>V6224884687001</v>
      </c>
      <c r="C844" s="2" t="s">
        <v>5301</v>
      </c>
      <c r="D844" s="2" t="s">
        <v>2784</v>
      </c>
      <c r="E844" s="2" t="s">
        <v>4394</v>
      </c>
      <c r="F844" s="2" t="s">
        <v>13</v>
      </c>
      <c r="H844" s="2">
        <v>2021</v>
      </c>
      <c r="I844" s="2" t="s">
        <v>5302</v>
      </c>
      <c r="J844" s="2" t="s">
        <v>15</v>
      </c>
      <c r="K844" s="2" t="s">
        <v>5303</v>
      </c>
    </row>
    <row r="845" spans="1:11" x14ac:dyDescent="0.25">
      <c r="A845" s="2" t="s">
        <v>2822</v>
      </c>
      <c r="B845" s="2" t="str">
        <f>"V6224876677001"</f>
        <v>V6224876677001</v>
      </c>
      <c r="C845" s="2" t="s">
        <v>5304</v>
      </c>
      <c r="D845" s="2" t="s">
        <v>2784</v>
      </c>
      <c r="E845" s="2" t="s">
        <v>4394</v>
      </c>
      <c r="F845" s="2" t="s">
        <v>13</v>
      </c>
      <c r="H845" s="2">
        <v>2021</v>
      </c>
      <c r="I845" s="2" t="s">
        <v>5305</v>
      </c>
      <c r="J845" s="2" t="s">
        <v>15</v>
      </c>
      <c r="K845" s="2" t="s">
        <v>5306</v>
      </c>
    </row>
    <row r="846" spans="1:11" x14ac:dyDescent="0.25">
      <c r="A846" s="2" t="s">
        <v>2822</v>
      </c>
      <c r="B846" s="2" t="str">
        <f>"V6224888114001"</f>
        <v>V6224888114001</v>
      </c>
      <c r="C846" s="2" t="s">
        <v>5307</v>
      </c>
      <c r="D846" s="2" t="s">
        <v>2784</v>
      </c>
      <c r="E846" s="2" t="s">
        <v>4394</v>
      </c>
      <c r="F846" s="2" t="s">
        <v>13</v>
      </c>
      <c r="H846" s="2">
        <v>2021</v>
      </c>
      <c r="I846" s="2" t="s">
        <v>5308</v>
      </c>
      <c r="J846" s="2" t="s">
        <v>15</v>
      </c>
      <c r="K846" s="2" t="s">
        <v>5309</v>
      </c>
    </row>
    <row r="847" spans="1:11" x14ac:dyDescent="0.25">
      <c r="A847" s="2" t="s">
        <v>2822</v>
      </c>
      <c r="B847" s="2" t="str">
        <f>"V6224927340001"</f>
        <v>V6224927340001</v>
      </c>
      <c r="C847" s="2" t="s">
        <v>5310</v>
      </c>
      <c r="D847" s="2" t="s">
        <v>2784</v>
      </c>
      <c r="E847" s="2" t="s">
        <v>4394</v>
      </c>
      <c r="F847" s="2" t="s">
        <v>13</v>
      </c>
      <c r="H847" s="2">
        <v>2021</v>
      </c>
      <c r="I847" s="2" t="s">
        <v>5311</v>
      </c>
      <c r="J847" s="2" t="s">
        <v>15</v>
      </c>
      <c r="K847" s="2" t="s">
        <v>5312</v>
      </c>
    </row>
    <row r="848" spans="1:11" x14ac:dyDescent="0.25">
      <c r="A848" s="2" t="s">
        <v>2822</v>
      </c>
      <c r="B848" s="2" t="str">
        <f>"V6224927341001"</f>
        <v>V6224927341001</v>
      </c>
      <c r="C848" s="2" t="s">
        <v>5313</v>
      </c>
      <c r="D848" s="2" t="s">
        <v>2784</v>
      </c>
      <c r="E848" s="2" t="s">
        <v>4394</v>
      </c>
      <c r="F848" s="2" t="s">
        <v>13</v>
      </c>
      <c r="H848" s="2">
        <v>2021</v>
      </c>
      <c r="I848" s="2" t="s">
        <v>5314</v>
      </c>
      <c r="J848" s="2" t="s">
        <v>15</v>
      </c>
      <c r="K848" s="2" t="s">
        <v>5315</v>
      </c>
    </row>
    <row r="849" spans="1:11" x14ac:dyDescent="0.25">
      <c r="A849" s="2" t="s">
        <v>2822</v>
      </c>
      <c r="B849" s="2" t="str">
        <f>"V6224931351001"</f>
        <v>V6224931351001</v>
      </c>
      <c r="C849" s="2" t="s">
        <v>5316</v>
      </c>
      <c r="D849" s="2" t="s">
        <v>2784</v>
      </c>
      <c r="E849" s="2" t="s">
        <v>4394</v>
      </c>
      <c r="F849" s="2" t="s">
        <v>13</v>
      </c>
      <c r="H849" s="2">
        <v>2021</v>
      </c>
      <c r="I849" s="2" t="s">
        <v>5317</v>
      </c>
      <c r="J849" s="2" t="s">
        <v>15</v>
      </c>
      <c r="K849" s="2" t="s">
        <v>5318</v>
      </c>
    </row>
    <row r="850" spans="1:11" x14ac:dyDescent="0.25">
      <c r="A850" s="2" t="s">
        <v>2822</v>
      </c>
      <c r="B850" s="2" t="str">
        <f>"V6224928523001"</f>
        <v>V6224928523001</v>
      </c>
      <c r="C850" s="2" t="s">
        <v>5319</v>
      </c>
      <c r="D850" s="2" t="s">
        <v>2784</v>
      </c>
      <c r="E850" s="2" t="s">
        <v>4394</v>
      </c>
      <c r="F850" s="2" t="s">
        <v>13</v>
      </c>
      <c r="H850" s="2">
        <v>2021</v>
      </c>
      <c r="I850" s="2" t="s">
        <v>5320</v>
      </c>
      <c r="J850" s="2" t="s">
        <v>15</v>
      </c>
      <c r="K850" s="2" t="s">
        <v>5321</v>
      </c>
    </row>
    <row r="851" spans="1:11" x14ac:dyDescent="0.25">
      <c r="A851" s="2" t="s">
        <v>2822</v>
      </c>
      <c r="B851" s="2" t="str">
        <f>"V6224930135001"</f>
        <v>V6224930135001</v>
      </c>
      <c r="C851" s="2" t="s">
        <v>5322</v>
      </c>
      <c r="D851" s="2" t="s">
        <v>2784</v>
      </c>
      <c r="E851" s="2" t="s">
        <v>4394</v>
      </c>
      <c r="F851" s="2" t="s">
        <v>13</v>
      </c>
      <c r="H851" s="2">
        <v>2021</v>
      </c>
      <c r="I851" s="2" t="s">
        <v>5323</v>
      </c>
      <c r="J851" s="2" t="s">
        <v>15</v>
      </c>
      <c r="K851" s="2" t="s">
        <v>5324</v>
      </c>
    </row>
    <row r="852" spans="1:11" x14ac:dyDescent="0.25">
      <c r="A852" s="2" t="s">
        <v>2822</v>
      </c>
      <c r="B852" s="2" t="str">
        <f>"V6224878389001"</f>
        <v>V6224878389001</v>
      </c>
      <c r="C852" s="2" t="s">
        <v>5325</v>
      </c>
      <c r="D852" s="2" t="s">
        <v>2784</v>
      </c>
      <c r="E852" s="2" t="s">
        <v>4394</v>
      </c>
      <c r="F852" s="2" t="s">
        <v>13</v>
      </c>
      <c r="H852" s="2">
        <v>2021</v>
      </c>
      <c r="I852" s="2" t="s">
        <v>5326</v>
      </c>
      <c r="J852" s="2" t="s">
        <v>15</v>
      </c>
      <c r="K852" s="2" t="s">
        <v>5327</v>
      </c>
    </row>
    <row r="853" spans="1:11" x14ac:dyDescent="0.25">
      <c r="A853" s="2" t="s">
        <v>2822</v>
      </c>
      <c r="B853" s="2" t="str">
        <f>"V6224924881001"</f>
        <v>V6224924881001</v>
      </c>
      <c r="C853" s="2" t="s">
        <v>5328</v>
      </c>
      <c r="D853" s="2" t="s">
        <v>2784</v>
      </c>
      <c r="E853" s="2" t="s">
        <v>4394</v>
      </c>
      <c r="F853" s="2" t="s">
        <v>13</v>
      </c>
      <c r="H853" s="2">
        <v>2021</v>
      </c>
      <c r="I853" s="2" t="s">
        <v>5329</v>
      </c>
      <c r="J853" s="2" t="s">
        <v>15</v>
      </c>
      <c r="K853" s="2" t="s">
        <v>5330</v>
      </c>
    </row>
    <row r="854" spans="1:11" x14ac:dyDescent="0.25">
      <c r="A854" s="2" t="s">
        <v>2822</v>
      </c>
      <c r="B854" s="2" t="str">
        <f>"V6224927184001"</f>
        <v>V6224927184001</v>
      </c>
      <c r="C854" s="2" t="s">
        <v>5331</v>
      </c>
      <c r="D854" s="2" t="s">
        <v>2784</v>
      </c>
      <c r="E854" s="2" t="s">
        <v>4394</v>
      </c>
      <c r="F854" s="2" t="s">
        <v>13</v>
      </c>
      <c r="H854" s="2">
        <v>2021</v>
      </c>
      <c r="I854" s="2" t="s">
        <v>5332</v>
      </c>
      <c r="J854" s="2" t="s">
        <v>15</v>
      </c>
      <c r="K854" s="2" t="s">
        <v>5333</v>
      </c>
    </row>
    <row r="855" spans="1:11" x14ac:dyDescent="0.25">
      <c r="A855" s="2" t="s">
        <v>2822</v>
      </c>
      <c r="B855" s="2" t="str">
        <f>"V6224928522001"</f>
        <v>V6224928522001</v>
      </c>
      <c r="C855" s="2" t="s">
        <v>5334</v>
      </c>
      <c r="D855" s="2" t="s">
        <v>2784</v>
      </c>
      <c r="E855" s="2" t="s">
        <v>4394</v>
      </c>
      <c r="F855" s="2" t="s">
        <v>13</v>
      </c>
      <c r="H855" s="2">
        <v>2021</v>
      </c>
      <c r="I855" s="2" t="s">
        <v>5335</v>
      </c>
      <c r="J855" s="2" t="s">
        <v>15</v>
      </c>
      <c r="K855" s="2" t="s">
        <v>5336</v>
      </c>
    </row>
    <row r="856" spans="1:11" x14ac:dyDescent="0.25">
      <c r="A856" s="2" t="s">
        <v>2822</v>
      </c>
      <c r="B856" s="2" t="str">
        <f>"V6224928422001"</f>
        <v>V6224928422001</v>
      </c>
      <c r="C856" s="2" t="s">
        <v>5337</v>
      </c>
      <c r="D856" s="2" t="s">
        <v>2784</v>
      </c>
      <c r="E856" s="2" t="s">
        <v>4394</v>
      </c>
      <c r="F856" s="2" t="s">
        <v>13</v>
      </c>
      <c r="H856" s="2">
        <v>2021</v>
      </c>
      <c r="I856" s="2" t="s">
        <v>5338</v>
      </c>
      <c r="J856" s="2" t="s">
        <v>15</v>
      </c>
      <c r="K856" s="2" t="s">
        <v>5339</v>
      </c>
    </row>
    <row r="857" spans="1:11" x14ac:dyDescent="0.25">
      <c r="A857" s="2" t="s">
        <v>2822</v>
      </c>
      <c r="B857" s="2" t="str">
        <f>"V6224924784001"</f>
        <v>V6224924784001</v>
      </c>
      <c r="C857" s="2" t="s">
        <v>5340</v>
      </c>
      <c r="D857" s="2" t="s">
        <v>2784</v>
      </c>
      <c r="E857" s="2" t="s">
        <v>4394</v>
      </c>
      <c r="F857" s="2" t="s">
        <v>13</v>
      </c>
      <c r="H857" s="2">
        <v>2021</v>
      </c>
      <c r="I857" s="2" t="s">
        <v>5341</v>
      </c>
      <c r="J857" s="2" t="s">
        <v>15</v>
      </c>
      <c r="K857" s="2" t="s">
        <v>5342</v>
      </c>
    </row>
    <row r="858" spans="1:11" x14ac:dyDescent="0.25">
      <c r="A858" s="2" t="s">
        <v>2822</v>
      </c>
      <c r="B858" s="2" t="str">
        <f>"V6224901980001"</f>
        <v>V6224901980001</v>
      </c>
      <c r="C858" s="2" t="s">
        <v>5343</v>
      </c>
      <c r="D858" s="2" t="s">
        <v>2784</v>
      </c>
      <c r="E858" s="2" t="s">
        <v>4394</v>
      </c>
      <c r="F858" s="2" t="s">
        <v>13</v>
      </c>
      <c r="H858" s="2">
        <v>2021</v>
      </c>
      <c r="I858" s="2" t="s">
        <v>5344</v>
      </c>
      <c r="J858" s="2" t="s">
        <v>15</v>
      </c>
      <c r="K858" s="2" t="s">
        <v>5345</v>
      </c>
    </row>
    <row r="859" spans="1:11" x14ac:dyDescent="0.25">
      <c r="A859" s="2" t="s">
        <v>2822</v>
      </c>
      <c r="B859" s="2" t="str">
        <f>"V6224903831001"</f>
        <v>V6224903831001</v>
      </c>
      <c r="C859" s="2" t="s">
        <v>5346</v>
      </c>
      <c r="D859" s="2" t="s">
        <v>2784</v>
      </c>
      <c r="E859" s="2" t="s">
        <v>4394</v>
      </c>
      <c r="F859" s="2" t="s">
        <v>13</v>
      </c>
      <c r="H859" s="2">
        <v>2021</v>
      </c>
      <c r="I859" s="2" t="s">
        <v>5347</v>
      </c>
      <c r="J859" s="2" t="s">
        <v>15</v>
      </c>
      <c r="K859" s="2" t="s">
        <v>5348</v>
      </c>
    </row>
    <row r="860" spans="1:11" x14ac:dyDescent="0.25">
      <c r="A860" s="2" t="s">
        <v>2822</v>
      </c>
      <c r="B860" s="2" t="str">
        <f>"V6224898344001"</f>
        <v>V6224898344001</v>
      </c>
      <c r="C860" s="2" t="s">
        <v>5349</v>
      </c>
      <c r="D860" s="2" t="s">
        <v>2784</v>
      </c>
      <c r="E860" s="2" t="s">
        <v>4394</v>
      </c>
      <c r="F860" s="2" t="s">
        <v>13</v>
      </c>
      <c r="H860" s="2">
        <v>2021</v>
      </c>
      <c r="I860" s="2" t="s">
        <v>5350</v>
      </c>
      <c r="J860" s="2" t="s">
        <v>15</v>
      </c>
      <c r="K860" s="2" t="s">
        <v>5351</v>
      </c>
    </row>
    <row r="861" spans="1:11" x14ac:dyDescent="0.25">
      <c r="A861" s="2" t="s">
        <v>2822</v>
      </c>
      <c r="B861" s="2" t="str">
        <f>"V6224930117001"</f>
        <v>V6224930117001</v>
      </c>
      <c r="C861" s="2" t="s">
        <v>5352</v>
      </c>
      <c r="D861" s="2" t="s">
        <v>2784</v>
      </c>
      <c r="E861" s="2" t="s">
        <v>4394</v>
      </c>
      <c r="F861" s="2" t="s">
        <v>13</v>
      </c>
      <c r="H861" s="2">
        <v>2021</v>
      </c>
      <c r="I861" s="2" t="s">
        <v>5353</v>
      </c>
      <c r="J861" s="2" t="s">
        <v>15</v>
      </c>
      <c r="K861" s="2" t="s">
        <v>5354</v>
      </c>
    </row>
    <row r="862" spans="1:11" x14ac:dyDescent="0.25">
      <c r="A862" s="2" t="s">
        <v>2822</v>
      </c>
      <c r="B862" s="2" t="str">
        <f>"V6224927921001"</f>
        <v>V6224927921001</v>
      </c>
      <c r="C862" s="2" t="s">
        <v>5355</v>
      </c>
      <c r="D862" s="2" t="s">
        <v>2784</v>
      </c>
      <c r="E862" s="2" t="s">
        <v>4394</v>
      </c>
      <c r="F862" s="2" t="s">
        <v>13</v>
      </c>
      <c r="H862" s="2">
        <v>2021</v>
      </c>
      <c r="I862" s="2" t="s">
        <v>5356</v>
      </c>
      <c r="J862" s="2" t="s">
        <v>15</v>
      </c>
      <c r="K862" s="2" t="s">
        <v>5357</v>
      </c>
    </row>
    <row r="863" spans="1:11" x14ac:dyDescent="0.25">
      <c r="A863" s="2" t="s">
        <v>2822</v>
      </c>
      <c r="B863" s="2" t="str">
        <f>"V6224936609001"</f>
        <v>V6224936609001</v>
      </c>
      <c r="C863" s="2" t="s">
        <v>5358</v>
      </c>
      <c r="D863" s="2" t="s">
        <v>2784</v>
      </c>
      <c r="E863" s="2" t="s">
        <v>4394</v>
      </c>
      <c r="F863" s="2" t="s">
        <v>13</v>
      </c>
      <c r="H863" s="2">
        <v>2021</v>
      </c>
      <c r="I863" s="2" t="s">
        <v>5359</v>
      </c>
      <c r="J863" s="2" t="s">
        <v>15</v>
      </c>
      <c r="K863" s="2" t="s">
        <v>5360</v>
      </c>
    </row>
    <row r="864" spans="1:11" x14ac:dyDescent="0.25">
      <c r="A864" s="2" t="s">
        <v>2822</v>
      </c>
      <c r="B864" s="2" t="str">
        <f>"V6224903830001"</f>
        <v>V6224903830001</v>
      </c>
      <c r="C864" s="2" t="s">
        <v>5361</v>
      </c>
      <c r="D864" s="2" t="s">
        <v>2784</v>
      </c>
      <c r="E864" s="2" t="s">
        <v>4394</v>
      </c>
      <c r="F864" s="2" t="s">
        <v>13</v>
      </c>
      <c r="H864" s="2">
        <v>2021</v>
      </c>
      <c r="I864" s="2" t="s">
        <v>5362</v>
      </c>
      <c r="J864" s="2" t="s">
        <v>15</v>
      </c>
      <c r="K864" s="2" t="s">
        <v>5363</v>
      </c>
    </row>
    <row r="865" spans="1:11" x14ac:dyDescent="0.25">
      <c r="A865" s="2" t="s">
        <v>2822</v>
      </c>
      <c r="B865" s="2" t="str">
        <f>"V6126358686001"</f>
        <v>V6126358686001</v>
      </c>
      <c r="C865" s="2" t="s">
        <v>5364</v>
      </c>
      <c r="D865" s="2" t="s">
        <v>2435</v>
      </c>
      <c r="E865" s="2" t="s">
        <v>4163</v>
      </c>
      <c r="F865" s="2" t="s">
        <v>13</v>
      </c>
      <c r="H865" s="2">
        <v>2020</v>
      </c>
      <c r="I865" s="2" t="s">
        <v>5365</v>
      </c>
      <c r="J865" s="2" t="s">
        <v>15</v>
      </c>
      <c r="K865" s="2" t="s">
        <v>5366</v>
      </c>
    </row>
    <row r="866" spans="1:11" x14ac:dyDescent="0.25">
      <c r="A866" s="2" t="s">
        <v>2822</v>
      </c>
      <c r="B866" s="2" t="str">
        <f>"V6126357776001"</f>
        <v>V6126357776001</v>
      </c>
      <c r="C866" s="2" t="s">
        <v>5367</v>
      </c>
      <c r="D866" s="2" t="s">
        <v>2435</v>
      </c>
      <c r="E866" s="2" t="s">
        <v>4163</v>
      </c>
      <c r="F866" s="2" t="s">
        <v>13</v>
      </c>
      <c r="H866" s="2">
        <v>2020</v>
      </c>
      <c r="I866" s="2" t="s">
        <v>5368</v>
      </c>
      <c r="J866" s="2" t="s">
        <v>15</v>
      </c>
      <c r="K866" s="2" t="s">
        <v>5369</v>
      </c>
    </row>
    <row r="867" spans="1:11" x14ac:dyDescent="0.25">
      <c r="A867" s="2" t="s">
        <v>2822</v>
      </c>
      <c r="B867" s="2" t="str">
        <f>"V6126360839001"</f>
        <v>V6126360839001</v>
      </c>
      <c r="C867" s="2" t="s">
        <v>5370</v>
      </c>
      <c r="D867" s="2" t="s">
        <v>2435</v>
      </c>
      <c r="E867" s="2" t="s">
        <v>4163</v>
      </c>
      <c r="F867" s="2" t="s">
        <v>13</v>
      </c>
      <c r="H867" s="2">
        <v>2020</v>
      </c>
      <c r="I867" s="2" t="s">
        <v>5371</v>
      </c>
      <c r="J867" s="2" t="s">
        <v>15</v>
      </c>
      <c r="K867" s="2" t="s">
        <v>5372</v>
      </c>
    </row>
    <row r="868" spans="1:11" x14ac:dyDescent="0.25">
      <c r="A868" s="2" t="s">
        <v>2822</v>
      </c>
      <c r="B868" s="2" t="str">
        <f>"V6126360842001"</f>
        <v>V6126360842001</v>
      </c>
      <c r="C868" s="2" t="s">
        <v>5373</v>
      </c>
      <c r="D868" s="2" t="s">
        <v>2435</v>
      </c>
      <c r="E868" s="2" t="s">
        <v>4163</v>
      </c>
      <c r="F868" s="2" t="s">
        <v>13</v>
      </c>
      <c r="H868" s="2">
        <v>2020</v>
      </c>
      <c r="I868" s="2" t="s">
        <v>5374</v>
      </c>
      <c r="J868" s="2" t="s">
        <v>15</v>
      </c>
      <c r="K868" s="2" t="s">
        <v>5375</v>
      </c>
    </row>
    <row r="869" spans="1:11" x14ac:dyDescent="0.25">
      <c r="A869" s="2" t="s">
        <v>2822</v>
      </c>
      <c r="B869" s="2" t="str">
        <f>"V6126360844001"</f>
        <v>V6126360844001</v>
      </c>
      <c r="C869" s="2" t="s">
        <v>5376</v>
      </c>
      <c r="D869" s="2" t="s">
        <v>2435</v>
      </c>
      <c r="E869" s="2" t="s">
        <v>4163</v>
      </c>
      <c r="F869" s="2" t="s">
        <v>13</v>
      </c>
      <c r="H869" s="2">
        <v>2020</v>
      </c>
      <c r="I869" s="2" t="s">
        <v>5377</v>
      </c>
      <c r="J869" s="2" t="s">
        <v>15</v>
      </c>
      <c r="K869" s="2" t="s">
        <v>5378</v>
      </c>
    </row>
    <row r="870" spans="1:11" x14ac:dyDescent="0.25">
      <c r="A870" s="2" t="s">
        <v>2822</v>
      </c>
      <c r="B870" s="2" t="str">
        <f>"V6126358688001"</f>
        <v>V6126358688001</v>
      </c>
      <c r="C870" s="2" t="s">
        <v>5379</v>
      </c>
      <c r="D870" s="2" t="s">
        <v>2435</v>
      </c>
      <c r="E870" s="2" t="s">
        <v>4163</v>
      </c>
      <c r="F870" s="2" t="s">
        <v>13</v>
      </c>
      <c r="H870" s="2">
        <v>2020</v>
      </c>
      <c r="I870" s="2" t="s">
        <v>5380</v>
      </c>
      <c r="J870" s="2" t="s">
        <v>15</v>
      </c>
      <c r="K870" s="2" t="s">
        <v>5381</v>
      </c>
    </row>
    <row r="871" spans="1:11" x14ac:dyDescent="0.25">
      <c r="A871" s="2" t="s">
        <v>2822</v>
      </c>
      <c r="B871" s="2" t="str">
        <f>"V6126360868001"</f>
        <v>V6126360868001</v>
      </c>
      <c r="C871" s="2" t="s">
        <v>5382</v>
      </c>
      <c r="D871" s="2" t="s">
        <v>2435</v>
      </c>
      <c r="E871" s="2" t="s">
        <v>4163</v>
      </c>
      <c r="F871" s="2" t="s">
        <v>13</v>
      </c>
      <c r="H871" s="2">
        <v>2020</v>
      </c>
      <c r="I871" s="2" t="s">
        <v>5383</v>
      </c>
      <c r="J871" s="2" t="s">
        <v>15</v>
      </c>
      <c r="K871" s="2" t="s">
        <v>5384</v>
      </c>
    </row>
    <row r="872" spans="1:11" x14ac:dyDescent="0.25">
      <c r="A872" s="2" t="s">
        <v>2822</v>
      </c>
      <c r="B872" s="2" t="str">
        <f>"V6126360187001"</f>
        <v>V6126360187001</v>
      </c>
      <c r="C872" s="2" t="s">
        <v>5385</v>
      </c>
      <c r="D872" s="2" t="s">
        <v>2435</v>
      </c>
      <c r="E872" s="2" t="s">
        <v>4163</v>
      </c>
      <c r="F872" s="2" t="s">
        <v>13</v>
      </c>
      <c r="H872" s="2">
        <v>2020</v>
      </c>
      <c r="I872" s="2" t="s">
        <v>5386</v>
      </c>
      <c r="J872" s="2" t="s">
        <v>15</v>
      </c>
      <c r="K872" s="2" t="s">
        <v>5387</v>
      </c>
    </row>
    <row r="873" spans="1:11" x14ac:dyDescent="0.25">
      <c r="A873" s="2" t="s">
        <v>2822</v>
      </c>
      <c r="B873" s="2" t="str">
        <f>"V6126360188001"</f>
        <v>V6126360188001</v>
      </c>
      <c r="C873" s="2" t="s">
        <v>5388</v>
      </c>
      <c r="D873" s="2" t="s">
        <v>2435</v>
      </c>
      <c r="E873" s="2" t="s">
        <v>4163</v>
      </c>
      <c r="F873" s="2" t="s">
        <v>13</v>
      </c>
      <c r="H873" s="2">
        <v>2020</v>
      </c>
      <c r="I873" s="2" t="s">
        <v>5389</v>
      </c>
      <c r="J873" s="2" t="s">
        <v>15</v>
      </c>
      <c r="K873" s="2" t="s">
        <v>5390</v>
      </c>
    </row>
    <row r="874" spans="1:11" x14ac:dyDescent="0.25">
      <c r="A874" s="2" t="s">
        <v>2822</v>
      </c>
      <c r="B874" s="2" t="str">
        <f>"V6126357792001"</f>
        <v>V6126357792001</v>
      </c>
      <c r="C874" s="2" t="s">
        <v>5391</v>
      </c>
      <c r="D874" s="2" t="s">
        <v>2435</v>
      </c>
      <c r="E874" s="2" t="s">
        <v>4163</v>
      </c>
      <c r="F874" s="2" t="s">
        <v>13</v>
      </c>
      <c r="H874" s="2">
        <v>2020</v>
      </c>
      <c r="I874" s="2" t="s">
        <v>5392</v>
      </c>
      <c r="J874" s="2" t="s">
        <v>15</v>
      </c>
      <c r="K874" s="2" t="s">
        <v>5393</v>
      </c>
    </row>
    <row r="875" spans="1:11" x14ac:dyDescent="0.25">
      <c r="A875" s="2" t="s">
        <v>2822</v>
      </c>
      <c r="B875" s="2" t="str">
        <f>"V6126357670001"</f>
        <v>V6126357670001</v>
      </c>
      <c r="C875" s="2" t="s">
        <v>5394</v>
      </c>
      <c r="D875" s="2" t="s">
        <v>2435</v>
      </c>
      <c r="E875" s="2" t="s">
        <v>4163</v>
      </c>
      <c r="F875" s="2" t="s">
        <v>13</v>
      </c>
      <c r="H875" s="2">
        <v>2020</v>
      </c>
      <c r="I875" s="2" t="s">
        <v>5395</v>
      </c>
      <c r="J875" s="2" t="s">
        <v>15</v>
      </c>
      <c r="K875" s="2" t="s">
        <v>5396</v>
      </c>
    </row>
    <row r="876" spans="1:11" x14ac:dyDescent="0.25">
      <c r="A876" s="2" t="s">
        <v>2822</v>
      </c>
      <c r="B876" s="2" t="str">
        <f>"V6126356674001"</f>
        <v>V6126356674001</v>
      </c>
      <c r="C876" s="2" t="s">
        <v>5397</v>
      </c>
      <c r="D876" s="2" t="s">
        <v>2435</v>
      </c>
      <c r="E876" s="2" t="s">
        <v>4163</v>
      </c>
      <c r="F876" s="2" t="s">
        <v>13</v>
      </c>
      <c r="H876" s="2">
        <v>2020</v>
      </c>
      <c r="I876" s="2" t="s">
        <v>5398</v>
      </c>
      <c r="J876" s="2" t="s">
        <v>15</v>
      </c>
      <c r="K876" s="2" t="s">
        <v>5399</v>
      </c>
    </row>
    <row r="877" spans="1:11" x14ac:dyDescent="0.25">
      <c r="A877" s="2" t="s">
        <v>2822</v>
      </c>
      <c r="B877" s="2" t="str">
        <f>"V6126307911001"</f>
        <v>V6126307911001</v>
      </c>
      <c r="C877" s="2" t="s">
        <v>5400</v>
      </c>
      <c r="D877" s="2" t="s">
        <v>2435</v>
      </c>
      <c r="E877" s="2" t="s">
        <v>4163</v>
      </c>
      <c r="F877" s="2" t="s">
        <v>13</v>
      </c>
      <c r="H877" s="2">
        <v>2020</v>
      </c>
      <c r="I877" s="2" t="s">
        <v>5401</v>
      </c>
      <c r="J877" s="2" t="s">
        <v>15</v>
      </c>
      <c r="K877" s="2" t="s">
        <v>5402</v>
      </c>
    </row>
    <row r="878" spans="1:11" x14ac:dyDescent="0.25">
      <c r="A878" s="2" t="s">
        <v>2822</v>
      </c>
      <c r="B878" s="2" t="str">
        <f>"V6126358640001"</f>
        <v>V6126358640001</v>
      </c>
      <c r="C878" s="2" t="s">
        <v>5403</v>
      </c>
      <c r="D878" s="2" t="s">
        <v>2435</v>
      </c>
      <c r="E878" s="2" t="s">
        <v>4163</v>
      </c>
      <c r="F878" s="2" t="s">
        <v>13</v>
      </c>
      <c r="H878" s="2">
        <v>2020</v>
      </c>
      <c r="I878" s="2" t="s">
        <v>5404</v>
      </c>
      <c r="J878" s="2" t="s">
        <v>15</v>
      </c>
      <c r="K878" s="2" t="s">
        <v>5405</v>
      </c>
    </row>
    <row r="879" spans="1:11" x14ac:dyDescent="0.25">
      <c r="A879" s="2" t="s">
        <v>2822</v>
      </c>
      <c r="B879" s="2" t="str">
        <f>"V6126355651001"</f>
        <v>V6126355651001</v>
      </c>
      <c r="C879" s="2" t="s">
        <v>5406</v>
      </c>
      <c r="D879" s="2" t="s">
        <v>2435</v>
      </c>
      <c r="E879" s="2" t="s">
        <v>4163</v>
      </c>
      <c r="F879" s="2" t="s">
        <v>13</v>
      </c>
      <c r="H879" s="2">
        <v>2020</v>
      </c>
      <c r="I879" s="2" t="s">
        <v>5407</v>
      </c>
      <c r="J879" s="2" t="s">
        <v>15</v>
      </c>
      <c r="K879" s="2" t="s">
        <v>5408</v>
      </c>
    </row>
    <row r="880" spans="1:11" x14ac:dyDescent="0.25">
      <c r="A880" s="2" t="s">
        <v>2822</v>
      </c>
      <c r="B880" s="2" t="str">
        <f>"V6126360142001"</f>
        <v>V6126360142001</v>
      </c>
      <c r="C880" s="2" t="s">
        <v>5409</v>
      </c>
      <c r="D880" s="2" t="s">
        <v>2435</v>
      </c>
      <c r="E880" s="2" t="s">
        <v>4163</v>
      </c>
      <c r="F880" s="2" t="s">
        <v>13</v>
      </c>
      <c r="H880" s="2">
        <v>2020</v>
      </c>
      <c r="I880" s="2" t="s">
        <v>5410</v>
      </c>
      <c r="J880" s="2" t="s">
        <v>15</v>
      </c>
      <c r="K880" s="2" t="s">
        <v>5411</v>
      </c>
    </row>
    <row r="881" spans="1:11" x14ac:dyDescent="0.25">
      <c r="A881" s="2" t="s">
        <v>2822</v>
      </c>
      <c r="B881" s="2" t="str">
        <f>"V6126357768001"</f>
        <v>V6126357768001</v>
      </c>
      <c r="C881" s="2" t="s">
        <v>5412</v>
      </c>
      <c r="D881" s="2" t="s">
        <v>2435</v>
      </c>
      <c r="E881" s="2" t="s">
        <v>4163</v>
      </c>
      <c r="F881" s="2" t="s">
        <v>13</v>
      </c>
      <c r="H881" s="2">
        <v>2020</v>
      </c>
      <c r="I881" s="2" t="s">
        <v>5413</v>
      </c>
      <c r="J881" s="2" t="s">
        <v>15</v>
      </c>
      <c r="K881" s="2" t="s">
        <v>5414</v>
      </c>
    </row>
    <row r="882" spans="1:11" x14ac:dyDescent="0.25">
      <c r="A882" s="2" t="s">
        <v>2822</v>
      </c>
      <c r="B882" s="2" t="str">
        <f>"V6126359203001"</f>
        <v>V6126359203001</v>
      </c>
      <c r="C882" s="2" t="s">
        <v>5415</v>
      </c>
      <c r="D882" s="2" t="s">
        <v>2435</v>
      </c>
      <c r="E882" s="2" t="s">
        <v>4163</v>
      </c>
      <c r="F882" s="2" t="s">
        <v>13</v>
      </c>
      <c r="H882" s="2">
        <v>2020</v>
      </c>
      <c r="I882" s="2" t="s">
        <v>5416</v>
      </c>
      <c r="J882" s="2" t="s">
        <v>15</v>
      </c>
      <c r="K882" s="2" t="s">
        <v>5417</v>
      </c>
    </row>
    <row r="883" spans="1:11" x14ac:dyDescent="0.25">
      <c r="A883" s="2" t="s">
        <v>2822</v>
      </c>
      <c r="B883" s="2" t="str">
        <f>"V6126358677001"</f>
        <v>V6126358677001</v>
      </c>
      <c r="C883" s="2" t="s">
        <v>5418</v>
      </c>
      <c r="D883" s="2" t="s">
        <v>2435</v>
      </c>
      <c r="E883" s="2" t="s">
        <v>4163</v>
      </c>
      <c r="F883" s="2" t="s">
        <v>13</v>
      </c>
      <c r="H883" s="2">
        <v>2020</v>
      </c>
      <c r="I883" s="2" t="s">
        <v>5419</v>
      </c>
      <c r="J883" s="2" t="s">
        <v>15</v>
      </c>
      <c r="K883" s="2" t="s">
        <v>5420</v>
      </c>
    </row>
    <row r="884" spans="1:11" x14ac:dyDescent="0.25">
      <c r="A884" s="2" t="s">
        <v>2822</v>
      </c>
      <c r="B884" s="2" t="str">
        <f>"V6126356723001"</f>
        <v>V6126356723001</v>
      </c>
      <c r="C884" s="2" t="s">
        <v>5421</v>
      </c>
      <c r="D884" s="2" t="s">
        <v>2435</v>
      </c>
      <c r="E884" s="2" t="s">
        <v>4163</v>
      </c>
      <c r="F884" s="2" t="s">
        <v>13</v>
      </c>
      <c r="H884" s="2">
        <v>2020</v>
      </c>
      <c r="I884" s="2" t="s">
        <v>5422</v>
      </c>
      <c r="J884" s="2" t="s">
        <v>15</v>
      </c>
      <c r="K884" s="2" t="s">
        <v>5423</v>
      </c>
    </row>
    <row r="885" spans="1:11" x14ac:dyDescent="0.25">
      <c r="A885" s="2" t="s">
        <v>2822</v>
      </c>
      <c r="B885" s="2" t="str">
        <f>"V6126359212001"</f>
        <v>V6126359212001</v>
      </c>
      <c r="C885" s="2" t="s">
        <v>5424</v>
      </c>
      <c r="D885" s="2" t="s">
        <v>2435</v>
      </c>
      <c r="E885" s="2" t="s">
        <v>4163</v>
      </c>
      <c r="F885" s="2" t="s">
        <v>13</v>
      </c>
      <c r="H885" s="2">
        <v>2020</v>
      </c>
      <c r="I885" s="2" t="s">
        <v>5425</v>
      </c>
      <c r="J885" s="2" t="s">
        <v>15</v>
      </c>
      <c r="K885" s="2" t="s">
        <v>5426</v>
      </c>
    </row>
    <row r="886" spans="1:11" x14ac:dyDescent="0.25">
      <c r="A886" s="2" t="s">
        <v>2822</v>
      </c>
      <c r="B886" s="2" t="str">
        <f>"V6126358290001"</f>
        <v>V6126358290001</v>
      </c>
      <c r="C886" s="2" t="s">
        <v>5427</v>
      </c>
      <c r="D886" s="2" t="s">
        <v>2435</v>
      </c>
      <c r="E886" s="2" t="s">
        <v>4163</v>
      </c>
      <c r="F886" s="2" t="s">
        <v>13</v>
      </c>
      <c r="H886" s="2">
        <v>2020</v>
      </c>
      <c r="I886" s="2" t="s">
        <v>5428</v>
      </c>
      <c r="J886" s="2" t="s">
        <v>15</v>
      </c>
      <c r="K886" s="2" t="s">
        <v>5429</v>
      </c>
    </row>
    <row r="887" spans="1:11" x14ac:dyDescent="0.25">
      <c r="A887" s="2" t="s">
        <v>2822</v>
      </c>
      <c r="B887" s="2" t="str">
        <f>"V6126361565001"</f>
        <v>V6126361565001</v>
      </c>
      <c r="C887" s="2" t="s">
        <v>5430</v>
      </c>
      <c r="D887" s="2" t="s">
        <v>2435</v>
      </c>
      <c r="E887" s="2" t="s">
        <v>4163</v>
      </c>
      <c r="F887" s="2" t="s">
        <v>13</v>
      </c>
      <c r="H887" s="2">
        <v>2020</v>
      </c>
      <c r="I887" s="2" t="s">
        <v>5431</v>
      </c>
      <c r="J887" s="2" t="s">
        <v>15</v>
      </c>
      <c r="K887" s="2" t="s">
        <v>5432</v>
      </c>
    </row>
    <row r="888" spans="1:11" x14ac:dyDescent="0.25">
      <c r="A888" s="2" t="s">
        <v>2822</v>
      </c>
      <c r="B888" s="2" t="str">
        <f>"V6126358685001"</f>
        <v>V6126358685001</v>
      </c>
      <c r="C888" s="2" t="s">
        <v>5433</v>
      </c>
      <c r="D888" s="2" t="s">
        <v>2435</v>
      </c>
      <c r="E888" s="2" t="s">
        <v>4163</v>
      </c>
      <c r="F888" s="2" t="s">
        <v>13</v>
      </c>
      <c r="H888" s="2">
        <v>2020</v>
      </c>
      <c r="I888" s="2" t="s">
        <v>5434</v>
      </c>
      <c r="J888" s="2" t="s">
        <v>15</v>
      </c>
      <c r="K888" s="2" t="s">
        <v>5435</v>
      </c>
    </row>
    <row r="889" spans="1:11" x14ac:dyDescent="0.25">
      <c r="A889" s="2" t="s">
        <v>2822</v>
      </c>
      <c r="B889" s="2" t="str">
        <f>"V6126360158001"</f>
        <v>V6126360158001</v>
      </c>
      <c r="C889" s="2" t="s">
        <v>5436</v>
      </c>
      <c r="D889" s="2" t="s">
        <v>2435</v>
      </c>
      <c r="E889" s="2" t="s">
        <v>4163</v>
      </c>
      <c r="F889" s="2" t="s">
        <v>13</v>
      </c>
      <c r="H889" s="2">
        <v>2020</v>
      </c>
      <c r="I889" s="2" t="s">
        <v>5431</v>
      </c>
      <c r="J889" s="2" t="s">
        <v>15</v>
      </c>
      <c r="K889" s="2" t="s">
        <v>5437</v>
      </c>
    </row>
    <row r="890" spans="1:11" x14ac:dyDescent="0.25">
      <c r="A890" s="2" t="s">
        <v>2822</v>
      </c>
      <c r="B890" s="2" t="str">
        <f>"V2219503902001"</f>
        <v>V2219503902001</v>
      </c>
      <c r="C890" s="2" t="s">
        <v>5438</v>
      </c>
      <c r="D890" s="2" t="s">
        <v>5439</v>
      </c>
      <c r="E890" s="2" t="s">
        <v>5440</v>
      </c>
      <c r="F890" s="2" t="s">
        <v>13</v>
      </c>
      <c r="H890" s="2">
        <v>2013</v>
      </c>
      <c r="I890" s="2" t="s">
        <v>5441</v>
      </c>
      <c r="J890" s="2" t="s">
        <v>15</v>
      </c>
      <c r="K890" s="2" t="s">
        <v>5442</v>
      </c>
    </row>
    <row r="891" spans="1:11" x14ac:dyDescent="0.25">
      <c r="A891" s="2" t="s">
        <v>2822</v>
      </c>
      <c r="B891" s="2" t="str">
        <f>"V2219508332001"</f>
        <v>V2219508332001</v>
      </c>
      <c r="C891" s="2" t="s">
        <v>5443</v>
      </c>
      <c r="D891" s="2" t="s">
        <v>5439</v>
      </c>
      <c r="E891" s="2" t="s">
        <v>5440</v>
      </c>
      <c r="F891" s="2" t="s">
        <v>13</v>
      </c>
      <c r="H891" s="2">
        <v>2013</v>
      </c>
      <c r="I891" s="2" t="s">
        <v>5444</v>
      </c>
      <c r="J891" s="2" t="s">
        <v>15</v>
      </c>
      <c r="K891" s="2" t="s">
        <v>5445</v>
      </c>
    </row>
    <row r="892" spans="1:11" x14ac:dyDescent="0.25">
      <c r="A892" s="2" t="s">
        <v>2822</v>
      </c>
      <c r="B892" s="2" t="str">
        <f>"V2219481724001"</f>
        <v>V2219481724001</v>
      </c>
      <c r="C892" s="2" t="s">
        <v>5446</v>
      </c>
      <c r="D892" s="2" t="s">
        <v>5439</v>
      </c>
      <c r="E892" s="2" t="s">
        <v>5447</v>
      </c>
      <c r="F892" s="2" t="s">
        <v>13</v>
      </c>
      <c r="H892" s="2">
        <v>2013</v>
      </c>
      <c r="I892" s="2" t="s">
        <v>5448</v>
      </c>
      <c r="J892" s="2" t="s">
        <v>15</v>
      </c>
      <c r="K892" s="2" t="s">
        <v>5449</v>
      </c>
    </row>
    <row r="893" spans="1:11" x14ac:dyDescent="0.25">
      <c r="A893" s="2" t="s">
        <v>2822</v>
      </c>
      <c r="B893" s="2" t="str">
        <f>"V2219503893001"</f>
        <v>V2219503893001</v>
      </c>
      <c r="C893" s="2" t="s">
        <v>5450</v>
      </c>
      <c r="D893" s="2" t="s">
        <v>5439</v>
      </c>
      <c r="E893" s="2" t="s">
        <v>5447</v>
      </c>
      <c r="F893" s="2" t="s">
        <v>13</v>
      </c>
      <c r="H893" s="2">
        <v>2013</v>
      </c>
      <c r="I893" s="2" t="s">
        <v>5451</v>
      </c>
      <c r="J893" s="2" t="s">
        <v>15</v>
      </c>
      <c r="K893" s="2" t="s">
        <v>5452</v>
      </c>
    </row>
    <row r="894" spans="1:11" x14ac:dyDescent="0.25">
      <c r="A894" s="2" t="s">
        <v>2822</v>
      </c>
      <c r="B894" s="2" t="str">
        <f>"V2219465500001"</f>
        <v>V2219465500001</v>
      </c>
      <c r="C894" s="2" t="s">
        <v>5453</v>
      </c>
      <c r="D894" s="2" t="s">
        <v>5439</v>
      </c>
      <c r="E894" s="2" t="s">
        <v>5447</v>
      </c>
      <c r="F894" s="2" t="s">
        <v>13</v>
      </c>
      <c r="H894" s="2">
        <v>2013</v>
      </c>
      <c r="I894" s="2" t="s">
        <v>5454</v>
      </c>
      <c r="J894" s="2" t="s">
        <v>15</v>
      </c>
      <c r="K894" s="2" t="s">
        <v>5455</v>
      </c>
    </row>
    <row r="895" spans="1:11" x14ac:dyDescent="0.25">
      <c r="A895" s="2" t="s">
        <v>2822</v>
      </c>
      <c r="B895" s="2" t="str">
        <f>"V2219481723001"</f>
        <v>V2219481723001</v>
      </c>
      <c r="C895" s="2" t="s">
        <v>5456</v>
      </c>
      <c r="D895" s="2" t="s">
        <v>5439</v>
      </c>
      <c r="E895" s="2" t="s">
        <v>5447</v>
      </c>
      <c r="F895" s="2" t="s">
        <v>13</v>
      </c>
      <c r="H895" s="2">
        <v>2013</v>
      </c>
      <c r="I895" s="2" t="s">
        <v>5457</v>
      </c>
      <c r="J895" s="2" t="s">
        <v>15</v>
      </c>
      <c r="K895" s="2" t="s">
        <v>5458</v>
      </c>
    </row>
    <row r="896" spans="1:11" x14ac:dyDescent="0.25">
      <c r="A896" s="2" t="s">
        <v>2822</v>
      </c>
      <c r="B896" s="2" t="str">
        <f>"V2219481732001"</f>
        <v>V2219481732001</v>
      </c>
      <c r="C896" s="2" t="s">
        <v>5459</v>
      </c>
      <c r="D896" s="2" t="s">
        <v>5439</v>
      </c>
      <c r="E896" s="2" t="s">
        <v>5447</v>
      </c>
      <c r="F896" s="2" t="s">
        <v>13</v>
      </c>
      <c r="H896" s="2">
        <v>2013</v>
      </c>
      <c r="I896" s="2" t="s">
        <v>5460</v>
      </c>
      <c r="J896" s="2" t="s">
        <v>15</v>
      </c>
      <c r="K896" s="2" t="s">
        <v>5461</v>
      </c>
    </row>
    <row r="897" spans="1:11" x14ac:dyDescent="0.25">
      <c r="A897" s="2" t="s">
        <v>2822</v>
      </c>
      <c r="B897" s="2" t="str">
        <f>"V2219503901001"</f>
        <v>V2219503901001</v>
      </c>
      <c r="C897" s="2" t="s">
        <v>5462</v>
      </c>
      <c r="D897" s="2" t="s">
        <v>5439</v>
      </c>
      <c r="E897" s="2" t="s">
        <v>5447</v>
      </c>
      <c r="F897" s="2" t="s">
        <v>13</v>
      </c>
      <c r="H897" s="2">
        <v>2013</v>
      </c>
      <c r="I897" s="2" t="s">
        <v>5463</v>
      </c>
      <c r="J897" s="2" t="s">
        <v>15</v>
      </c>
      <c r="K897" s="2" t="s">
        <v>5464</v>
      </c>
    </row>
    <row r="898" spans="1:11" x14ac:dyDescent="0.25">
      <c r="A898" s="2" t="s">
        <v>2822</v>
      </c>
      <c r="B898" s="2" t="str">
        <f>"V2219481731001"</f>
        <v>V2219481731001</v>
      </c>
      <c r="C898" s="2" t="s">
        <v>5465</v>
      </c>
      <c r="D898" s="2" t="s">
        <v>5439</v>
      </c>
      <c r="E898" s="2" t="s">
        <v>5440</v>
      </c>
      <c r="F898" s="2" t="s">
        <v>13</v>
      </c>
      <c r="H898" s="2">
        <v>2013</v>
      </c>
      <c r="I898" s="2" t="s">
        <v>5466</v>
      </c>
      <c r="J898" s="2" t="s">
        <v>15</v>
      </c>
      <c r="K898" s="2" t="s">
        <v>5467</v>
      </c>
    </row>
    <row r="899" spans="1:11" x14ac:dyDescent="0.25">
      <c r="A899" s="2" t="s">
        <v>2822</v>
      </c>
      <c r="B899" s="2" t="str">
        <f>"V2219503900001"</f>
        <v>V2219503900001</v>
      </c>
      <c r="C899" s="2" t="s">
        <v>5468</v>
      </c>
      <c r="D899" s="2" t="s">
        <v>5439</v>
      </c>
      <c r="E899" s="2" t="s">
        <v>5440</v>
      </c>
      <c r="F899" s="2" t="s">
        <v>13</v>
      </c>
      <c r="H899" s="2">
        <v>2013</v>
      </c>
      <c r="I899" s="2" t="s">
        <v>5469</v>
      </c>
      <c r="J899" s="2" t="s">
        <v>15</v>
      </c>
      <c r="K899" s="2" t="s">
        <v>5470</v>
      </c>
    </row>
    <row r="900" spans="1:11" x14ac:dyDescent="0.25">
      <c r="A900" s="2" t="s">
        <v>2822</v>
      </c>
      <c r="B900" s="2" t="str">
        <f>"V2219481729001"</f>
        <v>V2219481729001</v>
      </c>
      <c r="C900" s="2" t="s">
        <v>5471</v>
      </c>
      <c r="D900" s="2" t="s">
        <v>5439</v>
      </c>
      <c r="E900" s="2" t="s">
        <v>5447</v>
      </c>
      <c r="F900" s="2" t="s">
        <v>13</v>
      </c>
      <c r="H900" s="2">
        <v>2013</v>
      </c>
      <c r="I900" s="2" t="s">
        <v>5472</v>
      </c>
      <c r="J900" s="2" t="s">
        <v>15</v>
      </c>
      <c r="K900" s="2" t="s">
        <v>5473</v>
      </c>
    </row>
    <row r="901" spans="1:11" x14ac:dyDescent="0.25">
      <c r="A901" s="2" t="s">
        <v>2822</v>
      </c>
      <c r="B901" s="2" t="str">
        <f>"V2219503899001"</f>
        <v>V2219503899001</v>
      </c>
      <c r="C901" s="2" t="s">
        <v>5474</v>
      </c>
      <c r="D901" s="2" t="s">
        <v>5439</v>
      </c>
      <c r="E901" s="2" t="s">
        <v>5447</v>
      </c>
      <c r="F901" s="2" t="s">
        <v>13</v>
      </c>
      <c r="H901" s="2">
        <v>2013</v>
      </c>
      <c r="I901" s="2" t="s">
        <v>5475</v>
      </c>
      <c r="J901" s="2" t="s">
        <v>15</v>
      </c>
      <c r="K901" s="2" t="s">
        <v>5476</v>
      </c>
    </row>
    <row r="902" spans="1:11" x14ac:dyDescent="0.25">
      <c r="A902" s="2" t="s">
        <v>2822</v>
      </c>
      <c r="B902" s="2" t="str">
        <f>"V2219465505001"</f>
        <v>V2219465505001</v>
      </c>
      <c r="C902" s="2" t="s">
        <v>5477</v>
      </c>
      <c r="D902" s="2" t="s">
        <v>5439</v>
      </c>
      <c r="E902" s="2" t="s">
        <v>5440</v>
      </c>
      <c r="F902" s="2" t="s">
        <v>13</v>
      </c>
      <c r="H902" s="2">
        <v>2013</v>
      </c>
      <c r="I902" s="2" t="s">
        <v>5478</v>
      </c>
      <c r="J902" s="2" t="s">
        <v>15</v>
      </c>
      <c r="K902" s="2" t="s">
        <v>5479</v>
      </c>
    </row>
    <row r="903" spans="1:11" x14ac:dyDescent="0.25">
      <c r="A903" s="2" t="s">
        <v>2822</v>
      </c>
      <c r="B903" s="2" t="str">
        <f>"V2219481728001"</f>
        <v>V2219481728001</v>
      </c>
      <c r="C903" s="2" t="s">
        <v>5480</v>
      </c>
      <c r="D903" s="2" t="s">
        <v>5439</v>
      </c>
      <c r="E903" s="2" t="s">
        <v>5440</v>
      </c>
      <c r="F903" s="2" t="s">
        <v>13</v>
      </c>
      <c r="H903" s="2">
        <v>2013</v>
      </c>
      <c r="I903" s="2" t="s">
        <v>5481</v>
      </c>
      <c r="J903" s="2" t="s">
        <v>15</v>
      </c>
      <c r="K903" s="2" t="s">
        <v>5482</v>
      </c>
    </row>
    <row r="904" spans="1:11" x14ac:dyDescent="0.25">
      <c r="A904" s="2" t="s">
        <v>2822</v>
      </c>
      <c r="B904" s="2" t="str">
        <f>"V2219503897001"</f>
        <v>V2219503897001</v>
      </c>
      <c r="C904" s="2" t="s">
        <v>5483</v>
      </c>
      <c r="D904" s="2" t="s">
        <v>5439</v>
      </c>
      <c r="E904" s="2" t="s">
        <v>5447</v>
      </c>
      <c r="F904" s="2" t="s">
        <v>13</v>
      </c>
      <c r="H904" s="2">
        <v>2013</v>
      </c>
      <c r="I904" s="2" t="s">
        <v>5484</v>
      </c>
      <c r="J904" s="2" t="s">
        <v>15</v>
      </c>
      <c r="K904" s="2" t="s">
        <v>5485</v>
      </c>
    </row>
    <row r="905" spans="1:11" x14ac:dyDescent="0.25">
      <c r="A905" s="2" t="s">
        <v>2822</v>
      </c>
      <c r="B905" s="2" t="str">
        <f>"V2219465504001"</f>
        <v>V2219465504001</v>
      </c>
      <c r="C905" s="2" t="s">
        <v>5486</v>
      </c>
      <c r="D905" s="2" t="s">
        <v>5439</v>
      </c>
      <c r="E905" s="2" t="s">
        <v>5447</v>
      </c>
      <c r="F905" s="2" t="s">
        <v>13</v>
      </c>
      <c r="H905" s="2">
        <v>2013</v>
      </c>
      <c r="I905" s="2" t="s">
        <v>5487</v>
      </c>
      <c r="J905" s="2" t="s">
        <v>15</v>
      </c>
      <c r="K905" s="2" t="s">
        <v>5488</v>
      </c>
    </row>
    <row r="906" spans="1:11" x14ac:dyDescent="0.25">
      <c r="A906" s="2" t="s">
        <v>2822</v>
      </c>
      <c r="B906" s="2" t="str">
        <f>"V2219481727001"</f>
        <v>V2219481727001</v>
      </c>
      <c r="C906" s="2" t="s">
        <v>5489</v>
      </c>
      <c r="D906" s="2" t="s">
        <v>5439</v>
      </c>
      <c r="E906" s="2" t="s">
        <v>5440</v>
      </c>
      <c r="F906" s="2" t="s">
        <v>13</v>
      </c>
      <c r="H906" s="2">
        <v>2013</v>
      </c>
      <c r="I906" s="2" t="s">
        <v>5490</v>
      </c>
      <c r="J906" s="2" t="s">
        <v>15</v>
      </c>
      <c r="K906" s="2" t="s">
        <v>5491</v>
      </c>
    </row>
    <row r="907" spans="1:11" x14ac:dyDescent="0.25">
      <c r="A907" s="2" t="s">
        <v>2822</v>
      </c>
      <c r="B907" s="2" t="str">
        <f>"V2219503895001"</f>
        <v>V2219503895001</v>
      </c>
      <c r="C907" s="2" t="s">
        <v>5492</v>
      </c>
      <c r="D907" s="2" t="s">
        <v>5439</v>
      </c>
      <c r="E907" s="2" t="s">
        <v>5440</v>
      </c>
      <c r="F907" s="2" t="s">
        <v>13</v>
      </c>
      <c r="H907" s="2">
        <v>2013</v>
      </c>
      <c r="I907" s="2" t="s">
        <v>5493</v>
      </c>
      <c r="J907" s="2" t="s">
        <v>15</v>
      </c>
      <c r="K907" s="2" t="s">
        <v>5494</v>
      </c>
    </row>
    <row r="908" spans="1:11" x14ac:dyDescent="0.25">
      <c r="A908" s="2" t="s">
        <v>2822</v>
      </c>
      <c r="B908" s="2" t="str">
        <f>"V2219465502001"</f>
        <v>V2219465502001</v>
      </c>
      <c r="C908" s="2" t="s">
        <v>5495</v>
      </c>
      <c r="D908" s="2" t="s">
        <v>5439</v>
      </c>
      <c r="E908" s="2" t="s">
        <v>5447</v>
      </c>
      <c r="F908" s="2" t="s">
        <v>13</v>
      </c>
      <c r="H908" s="2">
        <v>2013</v>
      </c>
      <c r="I908" s="2" t="s">
        <v>5496</v>
      </c>
      <c r="J908" s="2" t="s">
        <v>15</v>
      </c>
      <c r="K908" s="2" t="s">
        <v>5497</v>
      </c>
    </row>
    <row r="909" spans="1:11" x14ac:dyDescent="0.25">
      <c r="A909" s="2" t="s">
        <v>2822</v>
      </c>
      <c r="B909" s="2" t="str">
        <f>"V2219481726001"</f>
        <v>V2219481726001</v>
      </c>
      <c r="C909" s="2" t="s">
        <v>5498</v>
      </c>
      <c r="D909" s="2" t="s">
        <v>5439</v>
      </c>
      <c r="E909" s="2" t="s">
        <v>5447</v>
      </c>
      <c r="F909" s="2" t="s">
        <v>13</v>
      </c>
      <c r="H909" s="2">
        <v>2013</v>
      </c>
      <c r="I909" s="2" t="s">
        <v>5499</v>
      </c>
      <c r="J909" s="2" t="s">
        <v>15</v>
      </c>
      <c r="K909" s="2" t="s">
        <v>5500</v>
      </c>
    </row>
    <row r="910" spans="1:11" x14ac:dyDescent="0.25">
      <c r="A910" s="2" t="s">
        <v>2822</v>
      </c>
      <c r="B910" s="2" t="str">
        <f>"V2219503894001"</f>
        <v>V2219503894001</v>
      </c>
      <c r="C910" s="2" t="s">
        <v>5501</v>
      </c>
      <c r="D910" s="2" t="s">
        <v>5439</v>
      </c>
      <c r="E910" s="2" t="s">
        <v>5440</v>
      </c>
      <c r="F910" s="2" t="s">
        <v>13</v>
      </c>
      <c r="H910" s="2">
        <v>2013</v>
      </c>
      <c r="I910" s="2" t="s">
        <v>5502</v>
      </c>
      <c r="J910" s="2" t="s">
        <v>15</v>
      </c>
      <c r="K910" s="2" t="s">
        <v>5503</v>
      </c>
    </row>
    <row r="911" spans="1:11" x14ac:dyDescent="0.25">
      <c r="A911" s="2" t="s">
        <v>2822</v>
      </c>
      <c r="B911" s="2" t="str">
        <f>"V2219465501001"</f>
        <v>V2219465501001</v>
      </c>
      <c r="C911" s="2" t="s">
        <v>5504</v>
      </c>
      <c r="D911" s="2" t="s">
        <v>5439</v>
      </c>
      <c r="E911" s="2" t="s">
        <v>5440</v>
      </c>
      <c r="F911" s="2" t="s">
        <v>13</v>
      </c>
      <c r="H911" s="2">
        <v>2013</v>
      </c>
      <c r="I911" s="2" t="s">
        <v>5505</v>
      </c>
      <c r="J911" s="2" t="s">
        <v>15</v>
      </c>
      <c r="K911" s="2" t="s">
        <v>5506</v>
      </c>
    </row>
    <row r="912" spans="1:11" x14ac:dyDescent="0.25">
      <c r="A912" s="2" t="s">
        <v>2822</v>
      </c>
      <c r="B912" s="2" t="str">
        <f>"V2939922926001"</f>
        <v>V2939922926001</v>
      </c>
      <c r="C912" s="2" t="s">
        <v>5507</v>
      </c>
      <c r="D912" s="2" t="s">
        <v>5508</v>
      </c>
      <c r="E912" s="2" t="s">
        <v>4678</v>
      </c>
      <c r="F912" s="2" t="s">
        <v>13</v>
      </c>
      <c r="H912" s="2">
        <v>2013</v>
      </c>
      <c r="I912" s="2" t="s">
        <v>5509</v>
      </c>
      <c r="J912" s="2" t="s">
        <v>15</v>
      </c>
      <c r="K912" s="2" t="s">
        <v>5510</v>
      </c>
    </row>
    <row r="913" spans="1:11" x14ac:dyDescent="0.25">
      <c r="A913" s="2" t="s">
        <v>2822</v>
      </c>
      <c r="B913" s="2" t="str">
        <f>"V2939922927001"</f>
        <v>V2939922927001</v>
      </c>
      <c r="C913" s="2" t="s">
        <v>5511</v>
      </c>
      <c r="D913" s="2" t="s">
        <v>5508</v>
      </c>
      <c r="E913" s="2" t="s">
        <v>4678</v>
      </c>
      <c r="F913" s="2" t="s">
        <v>13</v>
      </c>
      <c r="H913" s="2">
        <v>2013</v>
      </c>
      <c r="I913" s="2" t="s">
        <v>5512</v>
      </c>
      <c r="J913" s="2" t="s">
        <v>15</v>
      </c>
      <c r="K913" s="2" t="s">
        <v>5513</v>
      </c>
    </row>
    <row r="914" spans="1:11" x14ac:dyDescent="0.25">
      <c r="A914" s="2" t="s">
        <v>2822</v>
      </c>
      <c r="B914" s="2" t="str">
        <f>"V2939922928001"</f>
        <v>V2939922928001</v>
      </c>
      <c r="C914" s="2" t="s">
        <v>5514</v>
      </c>
      <c r="D914" s="2" t="s">
        <v>5508</v>
      </c>
      <c r="E914" s="2" t="s">
        <v>4678</v>
      </c>
      <c r="F914" s="2" t="s">
        <v>13</v>
      </c>
      <c r="H914" s="2">
        <v>2013</v>
      </c>
      <c r="I914" s="2" t="s">
        <v>5515</v>
      </c>
      <c r="J914" s="2" t="s">
        <v>15</v>
      </c>
      <c r="K914" s="2" t="s">
        <v>5516</v>
      </c>
    </row>
    <row r="915" spans="1:11" x14ac:dyDescent="0.25">
      <c r="A915" s="2" t="s">
        <v>2822</v>
      </c>
      <c r="B915" s="2" t="str">
        <f>"V2939922929001"</f>
        <v>V2939922929001</v>
      </c>
      <c r="C915" s="2" t="s">
        <v>5517</v>
      </c>
      <c r="D915" s="2" t="s">
        <v>5508</v>
      </c>
      <c r="E915" s="2" t="s">
        <v>4678</v>
      </c>
      <c r="F915" s="2" t="s">
        <v>13</v>
      </c>
      <c r="H915" s="2">
        <v>2013</v>
      </c>
      <c r="I915" s="2" t="s">
        <v>5518</v>
      </c>
      <c r="J915" s="2" t="s">
        <v>15</v>
      </c>
      <c r="K915" s="2" t="s">
        <v>5519</v>
      </c>
    </row>
    <row r="916" spans="1:11" x14ac:dyDescent="0.25">
      <c r="A916" s="2" t="s">
        <v>2822</v>
      </c>
      <c r="B916" s="2" t="str">
        <f>"V2939922910001"</f>
        <v>V2939922910001</v>
      </c>
      <c r="C916" s="2" t="s">
        <v>5520</v>
      </c>
      <c r="D916" s="2" t="s">
        <v>5508</v>
      </c>
      <c r="E916" s="2" t="s">
        <v>4678</v>
      </c>
      <c r="F916" s="2" t="s">
        <v>13</v>
      </c>
      <c r="H916" s="2">
        <v>2013</v>
      </c>
      <c r="I916" s="2" t="s">
        <v>5521</v>
      </c>
      <c r="J916" s="2" t="s">
        <v>15</v>
      </c>
      <c r="K916" s="2" t="s">
        <v>5522</v>
      </c>
    </row>
    <row r="917" spans="1:11" x14ac:dyDescent="0.25">
      <c r="A917" s="2" t="s">
        <v>2822</v>
      </c>
      <c r="B917" s="2" t="str">
        <f>"V2939922930001"</f>
        <v>V2939922930001</v>
      </c>
      <c r="C917" s="2" t="s">
        <v>5523</v>
      </c>
      <c r="D917" s="2" t="s">
        <v>5508</v>
      </c>
      <c r="E917" s="2" t="s">
        <v>4678</v>
      </c>
      <c r="F917" s="2" t="s">
        <v>13</v>
      </c>
      <c r="H917" s="2">
        <v>2013</v>
      </c>
      <c r="I917" s="2" t="s">
        <v>5524</v>
      </c>
      <c r="J917" s="2" t="s">
        <v>15</v>
      </c>
      <c r="K917" s="2" t="s">
        <v>5525</v>
      </c>
    </row>
    <row r="918" spans="1:11" x14ac:dyDescent="0.25">
      <c r="A918" s="2" t="s">
        <v>2822</v>
      </c>
      <c r="B918" s="2" t="str">
        <f>"V2939922911001"</f>
        <v>V2939922911001</v>
      </c>
      <c r="C918" s="2" t="s">
        <v>5526</v>
      </c>
      <c r="D918" s="2" t="s">
        <v>5508</v>
      </c>
      <c r="E918" s="2" t="s">
        <v>4678</v>
      </c>
      <c r="F918" s="2" t="s">
        <v>13</v>
      </c>
      <c r="H918" s="2">
        <v>2013</v>
      </c>
      <c r="I918" s="2" t="s">
        <v>5527</v>
      </c>
      <c r="J918" s="2" t="s">
        <v>15</v>
      </c>
      <c r="K918" s="2" t="s">
        <v>5528</v>
      </c>
    </row>
    <row r="919" spans="1:11" x14ac:dyDescent="0.25">
      <c r="A919" s="2" t="s">
        <v>2822</v>
      </c>
      <c r="B919" s="2" t="str">
        <f>"V2939922912001"</f>
        <v>V2939922912001</v>
      </c>
      <c r="C919" s="2" t="s">
        <v>5529</v>
      </c>
      <c r="D919" s="2" t="s">
        <v>5508</v>
      </c>
      <c r="E919" s="2" t="s">
        <v>4678</v>
      </c>
      <c r="F919" s="2" t="s">
        <v>13</v>
      </c>
      <c r="H919" s="2">
        <v>2013</v>
      </c>
      <c r="I919" s="2" t="s">
        <v>5530</v>
      </c>
      <c r="J919" s="2" t="s">
        <v>15</v>
      </c>
      <c r="K919" s="2" t="s">
        <v>5531</v>
      </c>
    </row>
    <row r="920" spans="1:11" x14ac:dyDescent="0.25">
      <c r="A920" s="2" t="s">
        <v>2822</v>
      </c>
      <c r="B920" s="2" t="str">
        <f>"V2939922913001"</f>
        <v>V2939922913001</v>
      </c>
      <c r="C920" s="2" t="s">
        <v>5532</v>
      </c>
      <c r="D920" s="2" t="s">
        <v>5508</v>
      </c>
      <c r="E920" s="2" t="s">
        <v>4678</v>
      </c>
      <c r="F920" s="2" t="s">
        <v>13</v>
      </c>
      <c r="H920" s="2">
        <v>2013</v>
      </c>
      <c r="I920" s="2" t="s">
        <v>5533</v>
      </c>
      <c r="J920" s="2" t="s">
        <v>15</v>
      </c>
      <c r="K920" s="2" t="s">
        <v>5534</v>
      </c>
    </row>
    <row r="921" spans="1:11" x14ac:dyDescent="0.25">
      <c r="A921" s="2" t="s">
        <v>2822</v>
      </c>
      <c r="B921" s="2" t="str">
        <f>"V2939922914001"</f>
        <v>V2939922914001</v>
      </c>
      <c r="C921" s="2" t="s">
        <v>5535</v>
      </c>
      <c r="D921" s="2" t="s">
        <v>5508</v>
      </c>
      <c r="E921" s="2" t="s">
        <v>4678</v>
      </c>
      <c r="F921" s="2" t="s">
        <v>13</v>
      </c>
      <c r="H921" s="2">
        <v>2013</v>
      </c>
      <c r="I921" s="2" t="s">
        <v>5536</v>
      </c>
      <c r="J921" s="2" t="s">
        <v>15</v>
      </c>
      <c r="K921" s="2" t="s">
        <v>5537</v>
      </c>
    </row>
    <row r="922" spans="1:11" x14ac:dyDescent="0.25">
      <c r="A922" s="2" t="s">
        <v>2822</v>
      </c>
      <c r="B922" s="2" t="str">
        <f>"V2939922916001"</f>
        <v>V2939922916001</v>
      </c>
      <c r="C922" s="2" t="s">
        <v>5538</v>
      </c>
      <c r="D922" s="2" t="s">
        <v>5508</v>
      </c>
      <c r="E922" s="2" t="s">
        <v>4678</v>
      </c>
      <c r="F922" s="2" t="s">
        <v>13</v>
      </c>
      <c r="H922" s="2">
        <v>2013</v>
      </c>
      <c r="I922" s="2" t="s">
        <v>5539</v>
      </c>
      <c r="J922" s="2" t="s">
        <v>15</v>
      </c>
      <c r="K922" s="2" t="s">
        <v>5540</v>
      </c>
    </row>
    <row r="923" spans="1:11" x14ac:dyDescent="0.25">
      <c r="A923" s="2" t="s">
        <v>2822</v>
      </c>
      <c r="B923" s="2" t="str">
        <f>"V2939922915001"</f>
        <v>V2939922915001</v>
      </c>
      <c r="C923" s="2" t="s">
        <v>5541</v>
      </c>
      <c r="D923" s="2" t="s">
        <v>5508</v>
      </c>
      <c r="E923" s="2" t="s">
        <v>4678</v>
      </c>
      <c r="F923" s="2" t="s">
        <v>13</v>
      </c>
      <c r="H923" s="2">
        <v>2013</v>
      </c>
      <c r="I923" s="2" t="s">
        <v>5542</v>
      </c>
      <c r="J923" s="2" t="s">
        <v>15</v>
      </c>
      <c r="K923" s="2" t="s">
        <v>5543</v>
      </c>
    </row>
    <row r="924" spans="1:11" x14ac:dyDescent="0.25">
      <c r="A924" s="2" t="s">
        <v>2822</v>
      </c>
      <c r="B924" s="2" t="str">
        <f>"V2939922917001"</f>
        <v>V2939922917001</v>
      </c>
      <c r="C924" s="2" t="s">
        <v>5544</v>
      </c>
      <c r="D924" s="2" t="s">
        <v>5508</v>
      </c>
      <c r="E924" s="2" t="s">
        <v>4678</v>
      </c>
      <c r="F924" s="2" t="s">
        <v>13</v>
      </c>
      <c r="H924" s="2">
        <v>2013</v>
      </c>
      <c r="I924" s="2" t="s">
        <v>5545</v>
      </c>
      <c r="J924" s="2" t="s">
        <v>15</v>
      </c>
      <c r="K924" s="2" t="s">
        <v>5546</v>
      </c>
    </row>
    <row r="925" spans="1:11" x14ac:dyDescent="0.25">
      <c r="A925" s="2" t="s">
        <v>2822</v>
      </c>
      <c r="B925" s="2" t="str">
        <f>"V2939922918001"</f>
        <v>V2939922918001</v>
      </c>
      <c r="C925" s="2" t="s">
        <v>5547</v>
      </c>
      <c r="D925" s="2" t="s">
        <v>5508</v>
      </c>
      <c r="E925" s="2" t="s">
        <v>4678</v>
      </c>
      <c r="F925" s="2" t="s">
        <v>13</v>
      </c>
      <c r="H925" s="2">
        <v>2013</v>
      </c>
      <c r="I925" s="2" t="s">
        <v>5548</v>
      </c>
      <c r="J925" s="2" t="s">
        <v>15</v>
      </c>
      <c r="K925" s="2" t="s">
        <v>5549</v>
      </c>
    </row>
    <row r="926" spans="1:11" x14ac:dyDescent="0.25">
      <c r="A926" s="2" t="s">
        <v>2822</v>
      </c>
      <c r="B926" s="2" t="str">
        <f>"V2939922919001"</f>
        <v>V2939922919001</v>
      </c>
      <c r="C926" s="2" t="s">
        <v>5550</v>
      </c>
      <c r="D926" s="2" t="s">
        <v>5508</v>
      </c>
      <c r="E926" s="2" t="s">
        <v>4678</v>
      </c>
      <c r="F926" s="2" t="s">
        <v>13</v>
      </c>
      <c r="H926" s="2">
        <v>2013</v>
      </c>
      <c r="I926" s="2" t="s">
        <v>5551</v>
      </c>
      <c r="J926" s="2" t="s">
        <v>15</v>
      </c>
      <c r="K926" s="2" t="s">
        <v>5552</v>
      </c>
    </row>
    <row r="927" spans="1:11" x14ac:dyDescent="0.25">
      <c r="A927" s="2" t="s">
        <v>2822</v>
      </c>
      <c r="B927" s="2" t="str">
        <f>"V2939922920001"</f>
        <v>V2939922920001</v>
      </c>
      <c r="C927" s="2" t="s">
        <v>5553</v>
      </c>
      <c r="D927" s="2" t="s">
        <v>5508</v>
      </c>
      <c r="E927" s="2" t="s">
        <v>4678</v>
      </c>
      <c r="F927" s="2" t="s">
        <v>13</v>
      </c>
      <c r="H927" s="2">
        <v>2013</v>
      </c>
      <c r="I927" s="2" t="s">
        <v>5554</v>
      </c>
      <c r="J927" s="2" t="s">
        <v>15</v>
      </c>
      <c r="K927" s="2" t="s">
        <v>5555</v>
      </c>
    </row>
    <row r="928" spans="1:11" x14ac:dyDescent="0.25">
      <c r="A928" s="2" t="s">
        <v>2822</v>
      </c>
      <c r="B928" s="2" t="str">
        <f>"V2939922922001"</f>
        <v>V2939922922001</v>
      </c>
      <c r="C928" s="2" t="s">
        <v>5556</v>
      </c>
      <c r="D928" s="2" t="s">
        <v>5508</v>
      </c>
      <c r="E928" s="2" t="s">
        <v>4678</v>
      </c>
      <c r="F928" s="2" t="s">
        <v>13</v>
      </c>
      <c r="H928" s="2">
        <v>2013</v>
      </c>
      <c r="I928" s="2" t="s">
        <v>5557</v>
      </c>
      <c r="J928" s="2" t="s">
        <v>15</v>
      </c>
      <c r="K928" s="2" t="s">
        <v>5558</v>
      </c>
    </row>
    <row r="929" spans="1:11" x14ac:dyDescent="0.25">
      <c r="A929" s="2" t="s">
        <v>2822</v>
      </c>
      <c r="B929" s="2" t="str">
        <f>"V2939922921001"</f>
        <v>V2939922921001</v>
      </c>
      <c r="C929" s="2" t="s">
        <v>5559</v>
      </c>
      <c r="D929" s="2" t="s">
        <v>5508</v>
      </c>
      <c r="E929" s="2" t="s">
        <v>4678</v>
      </c>
      <c r="F929" s="2" t="s">
        <v>13</v>
      </c>
      <c r="H929" s="2">
        <v>2013</v>
      </c>
      <c r="I929" s="2" t="s">
        <v>5560</v>
      </c>
      <c r="J929" s="2" t="s">
        <v>15</v>
      </c>
      <c r="K929" s="2" t="s">
        <v>5561</v>
      </c>
    </row>
    <row r="930" spans="1:11" x14ac:dyDescent="0.25">
      <c r="A930" s="2" t="s">
        <v>2822</v>
      </c>
      <c r="B930" s="2" t="str">
        <f>"V2939922924001"</f>
        <v>V2939922924001</v>
      </c>
      <c r="C930" s="2" t="s">
        <v>5562</v>
      </c>
      <c r="D930" s="2" t="s">
        <v>5508</v>
      </c>
      <c r="E930" s="2" t="s">
        <v>4678</v>
      </c>
      <c r="F930" s="2" t="s">
        <v>13</v>
      </c>
      <c r="H930" s="2">
        <v>2013</v>
      </c>
      <c r="I930" s="2" t="s">
        <v>5563</v>
      </c>
      <c r="J930" s="2" t="s">
        <v>15</v>
      </c>
      <c r="K930" s="2" t="s">
        <v>5564</v>
      </c>
    </row>
    <row r="931" spans="1:11" x14ac:dyDescent="0.25">
      <c r="A931" s="2" t="s">
        <v>2822</v>
      </c>
      <c r="B931" s="2" t="str">
        <f>"V2939922925001"</f>
        <v>V2939922925001</v>
      </c>
      <c r="C931" s="2" t="s">
        <v>5565</v>
      </c>
      <c r="D931" s="2" t="s">
        <v>5508</v>
      </c>
      <c r="E931" s="2" t="s">
        <v>4678</v>
      </c>
      <c r="F931" s="2" t="s">
        <v>13</v>
      </c>
      <c r="H931" s="2">
        <v>2013</v>
      </c>
      <c r="I931" s="2" t="s">
        <v>5566</v>
      </c>
      <c r="J931" s="2" t="s">
        <v>15</v>
      </c>
      <c r="K931" s="2" t="s">
        <v>5567</v>
      </c>
    </row>
    <row r="932" spans="1:11" x14ac:dyDescent="0.25">
      <c r="A932" s="2" t="s">
        <v>2822</v>
      </c>
      <c r="B932" s="2" t="str">
        <f>"V2079933714001"</f>
        <v>V2079933714001</v>
      </c>
      <c r="C932" s="2" t="s">
        <v>5568</v>
      </c>
      <c r="D932" s="2" t="s">
        <v>5569</v>
      </c>
      <c r="E932" s="2" t="s">
        <v>4163</v>
      </c>
      <c r="F932" s="2" t="s">
        <v>13</v>
      </c>
      <c r="H932" s="2">
        <v>2012</v>
      </c>
      <c r="I932" s="2" t="s">
        <v>5570</v>
      </c>
      <c r="J932" s="2" t="s">
        <v>15</v>
      </c>
      <c r="K932" s="2" t="s">
        <v>5571</v>
      </c>
    </row>
    <row r="933" spans="1:11" x14ac:dyDescent="0.25">
      <c r="A933" s="2" t="s">
        <v>2822</v>
      </c>
      <c r="B933" s="2" t="str">
        <f>"V2079918486001"</f>
        <v>V2079918486001</v>
      </c>
      <c r="C933" s="2" t="s">
        <v>5572</v>
      </c>
      <c r="D933" s="2" t="s">
        <v>5569</v>
      </c>
      <c r="E933" s="2" t="s">
        <v>4163</v>
      </c>
      <c r="F933" s="2" t="s">
        <v>13</v>
      </c>
      <c r="H933" s="2">
        <v>2012</v>
      </c>
      <c r="I933" s="2" t="s">
        <v>5573</v>
      </c>
      <c r="J933" s="2" t="s">
        <v>15</v>
      </c>
      <c r="K933" s="2" t="s">
        <v>5574</v>
      </c>
    </row>
    <row r="934" spans="1:11" x14ac:dyDescent="0.25">
      <c r="A934" s="2" t="s">
        <v>2822</v>
      </c>
      <c r="B934" s="2" t="str">
        <f>"V2079902189001"</f>
        <v>V2079902189001</v>
      </c>
      <c r="C934" s="2" t="s">
        <v>5575</v>
      </c>
      <c r="D934" s="2" t="s">
        <v>5569</v>
      </c>
      <c r="E934" s="2" t="s">
        <v>4163</v>
      </c>
      <c r="F934" s="2" t="s">
        <v>13</v>
      </c>
      <c r="H934" s="2">
        <v>2012</v>
      </c>
      <c r="I934" s="2" t="s">
        <v>5576</v>
      </c>
      <c r="J934" s="2" t="s">
        <v>15</v>
      </c>
      <c r="K934" s="2" t="s">
        <v>5577</v>
      </c>
    </row>
    <row r="935" spans="1:11" x14ac:dyDescent="0.25">
      <c r="A935" s="2" t="s">
        <v>2822</v>
      </c>
      <c r="B935" s="2" t="str">
        <f>"V2079911143001"</f>
        <v>V2079911143001</v>
      </c>
      <c r="C935" s="2" t="s">
        <v>5578</v>
      </c>
      <c r="D935" s="2" t="s">
        <v>5569</v>
      </c>
      <c r="E935" s="2" t="s">
        <v>4163</v>
      </c>
      <c r="F935" s="2" t="s">
        <v>13</v>
      </c>
      <c r="H935" s="2">
        <v>2012</v>
      </c>
      <c r="I935" s="2" t="s">
        <v>5579</v>
      </c>
      <c r="J935" s="2" t="s">
        <v>15</v>
      </c>
      <c r="K935" s="2" t="s">
        <v>5580</v>
      </c>
    </row>
    <row r="936" spans="1:11" x14ac:dyDescent="0.25">
      <c r="A936" s="2" t="s">
        <v>2822</v>
      </c>
      <c r="B936" s="2" t="str">
        <f>"V2079902188001"</f>
        <v>V2079902188001</v>
      </c>
      <c r="C936" s="2" t="s">
        <v>5581</v>
      </c>
      <c r="D936" s="2" t="s">
        <v>5569</v>
      </c>
      <c r="E936" s="2" t="s">
        <v>4163</v>
      </c>
      <c r="F936" s="2" t="s">
        <v>13</v>
      </c>
      <c r="H936" s="2">
        <v>2012</v>
      </c>
      <c r="I936" s="2" t="s">
        <v>5582</v>
      </c>
      <c r="J936" s="2" t="s">
        <v>15</v>
      </c>
      <c r="K936" s="2" t="s">
        <v>5583</v>
      </c>
    </row>
    <row r="937" spans="1:11" x14ac:dyDescent="0.25">
      <c r="A937" s="2" t="s">
        <v>2822</v>
      </c>
      <c r="B937" s="2" t="str">
        <f>"V2079902187001"</f>
        <v>V2079902187001</v>
      </c>
      <c r="C937" s="2" t="s">
        <v>5584</v>
      </c>
      <c r="D937" s="2" t="s">
        <v>5569</v>
      </c>
      <c r="E937" s="2" t="s">
        <v>4163</v>
      </c>
      <c r="F937" s="2" t="s">
        <v>13</v>
      </c>
      <c r="H937" s="2">
        <v>2012</v>
      </c>
      <c r="I937" s="2" t="s">
        <v>5585</v>
      </c>
      <c r="J937" s="2" t="s">
        <v>15</v>
      </c>
      <c r="K937" s="2" t="s">
        <v>5586</v>
      </c>
    </row>
    <row r="938" spans="1:11" x14ac:dyDescent="0.25">
      <c r="A938" s="2" t="s">
        <v>2822</v>
      </c>
      <c r="B938" s="2" t="str">
        <f>"V2079911142001"</f>
        <v>V2079911142001</v>
      </c>
      <c r="C938" s="2" t="s">
        <v>5587</v>
      </c>
      <c r="D938" s="2" t="s">
        <v>5569</v>
      </c>
      <c r="E938" s="2" t="s">
        <v>4163</v>
      </c>
      <c r="F938" s="2" t="s">
        <v>13</v>
      </c>
      <c r="H938" s="2">
        <v>2012</v>
      </c>
      <c r="I938" s="2" t="s">
        <v>5588</v>
      </c>
      <c r="J938" s="2" t="s">
        <v>15</v>
      </c>
      <c r="K938" s="2" t="s">
        <v>5589</v>
      </c>
    </row>
    <row r="939" spans="1:11" x14ac:dyDescent="0.25">
      <c r="A939" s="2" t="s">
        <v>2822</v>
      </c>
      <c r="B939" s="2" t="str">
        <f>"V2079918480001"</f>
        <v>V2079918480001</v>
      </c>
      <c r="C939" s="2" t="s">
        <v>5590</v>
      </c>
      <c r="D939" s="2" t="s">
        <v>5569</v>
      </c>
      <c r="E939" s="2" t="s">
        <v>4163</v>
      </c>
      <c r="F939" s="2" t="s">
        <v>13</v>
      </c>
      <c r="H939" s="2">
        <v>2012</v>
      </c>
      <c r="I939" s="2" t="s">
        <v>5591</v>
      </c>
      <c r="J939" s="2" t="s">
        <v>15</v>
      </c>
      <c r="K939" s="2" t="s">
        <v>5592</v>
      </c>
    </row>
    <row r="940" spans="1:11" x14ac:dyDescent="0.25">
      <c r="A940" s="2" t="s">
        <v>2822</v>
      </c>
      <c r="B940" s="2" t="str">
        <f>"V2079902185001"</f>
        <v>V2079902185001</v>
      </c>
      <c r="C940" s="2" t="s">
        <v>5593</v>
      </c>
      <c r="D940" s="2" t="s">
        <v>5569</v>
      </c>
      <c r="E940" s="2" t="s">
        <v>4163</v>
      </c>
      <c r="F940" s="2" t="s">
        <v>13</v>
      </c>
      <c r="H940" s="2">
        <v>2012</v>
      </c>
      <c r="I940" s="2" t="s">
        <v>5594</v>
      </c>
      <c r="J940" s="2" t="s">
        <v>15</v>
      </c>
      <c r="K940" s="2" t="s">
        <v>5595</v>
      </c>
    </row>
    <row r="941" spans="1:11" x14ac:dyDescent="0.25">
      <c r="A941" s="2" t="s">
        <v>2822</v>
      </c>
      <c r="B941" s="2" t="str">
        <f>"V2079918479001"</f>
        <v>V2079918479001</v>
      </c>
      <c r="C941" s="2" t="s">
        <v>5596</v>
      </c>
      <c r="D941" s="2" t="s">
        <v>5569</v>
      </c>
      <c r="E941" s="2" t="s">
        <v>4163</v>
      </c>
      <c r="F941" s="2" t="s">
        <v>13</v>
      </c>
      <c r="H941" s="2">
        <v>2012</v>
      </c>
      <c r="I941" s="2" t="s">
        <v>5597</v>
      </c>
      <c r="J941" s="2" t="s">
        <v>15</v>
      </c>
      <c r="K941" s="2" t="s">
        <v>5598</v>
      </c>
    </row>
    <row r="942" spans="1:11" x14ac:dyDescent="0.25">
      <c r="A942" s="2" t="s">
        <v>2822</v>
      </c>
      <c r="B942" s="2" t="str">
        <f>"V2079933713001"</f>
        <v>V2079933713001</v>
      </c>
      <c r="C942" s="2" t="s">
        <v>5599</v>
      </c>
      <c r="D942" s="2" t="s">
        <v>5569</v>
      </c>
      <c r="E942" s="2" t="s">
        <v>4163</v>
      </c>
      <c r="F942" s="2" t="s">
        <v>13</v>
      </c>
      <c r="H942" s="2">
        <v>2012</v>
      </c>
      <c r="I942" s="2" t="s">
        <v>5585</v>
      </c>
      <c r="J942" s="2" t="s">
        <v>15</v>
      </c>
      <c r="K942" s="2" t="s">
        <v>5600</v>
      </c>
    </row>
    <row r="943" spans="1:11" x14ac:dyDescent="0.25">
      <c r="A943" s="2" t="s">
        <v>2822</v>
      </c>
      <c r="B943" s="2" t="str">
        <f>"V2079918493001"</f>
        <v>V2079918493001</v>
      </c>
      <c r="C943" s="2" t="s">
        <v>5601</v>
      </c>
      <c r="D943" s="2" t="s">
        <v>5569</v>
      </c>
      <c r="E943" s="2" t="s">
        <v>4163</v>
      </c>
      <c r="F943" s="2" t="s">
        <v>13</v>
      </c>
      <c r="H943" s="2">
        <v>2012</v>
      </c>
      <c r="I943" s="2" t="s">
        <v>5602</v>
      </c>
      <c r="J943" s="2" t="s">
        <v>15</v>
      </c>
      <c r="K943" s="2" t="s">
        <v>5603</v>
      </c>
    </row>
    <row r="944" spans="1:11" x14ac:dyDescent="0.25">
      <c r="A944" s="2" t="s">
        <v>2822</v>
      </c>
      <c r="B944" s="2" t="str">
        <f>"V2079933711001"</f>
        <v>V2079933711001</v>
      </c>
      <c r="C944" s="2" t="s">
        <v>5604</v>
      </c>
      <c r="D944" s="2" t="s">
        <v>5569</v>
      </c>
      <c r="E944" s="2" t="s">
        <v>4163</v>
      </c>
      <c r="F944" s="2" t="s">
        <v>13</v>
      </c>
      <c r="H944" s="2">
        <v>2012</v>
      </c>
      <c r="I944" s="2" t="s">
        <v>5605</v>
      </c>
      <c r="J944" s="2" t="s">
        <v>15</v>
      </c>
      <c r="K944" s="2" t="s">
        <v>5606</v>
      </c>
    </row>
    <row r="945" spans="1:11" x14ac:dyDescent="0.25">
      <c r="A945" s="2" t="s">
        <v>2822</v>
      </c>
      <c r="B945" s="2" t="str">
        <f>"V2079911155001"</f>
        <v>V2079911155001</v>
      </c>
      <c r="C945" s="2" t="s">
        <v>5607</v>
      </c>
      <c r="D945" s="2" t="s">
        <v>5569</v>
      </c>
      <c r="E945" s="2" t="s">
        <v>4163</v>
      </c>
      <c r="F945" s="2" t="s">
        <v>13</v>
      </c>
      <c r="H945" s="2">
        <v>2012</v>
      </c>
      <c r="I945" s="2" t="s">
        <v>5608</v>
      </c>
      <c r="J945" s="2" t="s">
        <v>15</v>
      </c>
      <c r="K945" s="2" t="s">
        <v>5609</v>
      </c>
    </row>
    <row r="946" spans="1:11" x14ac:dyDescent="0.25">
      <c r="A946" s="2" t="s">
        <v>2822</v>
      </c>
      <c r="B946" s="2" t="str">
        <f>"V2079918490001"</f>
        <v>V2079918490001</v>
      </c>
      <c r="C946" s="2" t="s">
        <v>5610</v>
      </c>
      <c r="D946" s="2" t="s">
        <v>5569</v>
      </c>
      <c r="E946" s="2" t="s">
        <v>4163</v>
      </c>
      <c r="F946" s="2" t="s">
        <v>13</v>
      </c>
      <c r="H946" s="2">
        <v>2012</v>
      </c>
      <c r="I946" s="2" t="s">
        <v>5611</v>
      </c>
      <c r="J946" s="2" t="s">
        <v>15</v>
      </c>
      <c r="K946" s="2" t="s">
        <v>5612</v>
      </c>
    </row>
    <row r="947" spans="1:11" x14ac:dyDescent="0.25">
      <c r="A947" s="2" t="s">
        <v>2822</v>
      </c>
      <c r="B947" s="2" t="str">
        <f>"V2079933703001"</f>
        <v>V2079933703001</v>
      </c>
      <c r="C947" s="2" t="s">
        <v>5613</v>
      </c>
      <c r="D947" s="2" t="s">
        <v>5569</v>
      </c>
      <c r="E947" s="2" t="s">
        <v>4163</v>
      </c>
      <c r="F947" s="2" t="s">
        <v>13</v>
      </c>
      <c r="H947" s="2">
        <v>2012</v>
      </c>
      <c r="I947" s="2" t="s">
        <v>5614</v>
      </c>
      <c r="J947" s="2" t="s">
        <v>15</v>
      </c>
      <c r="K947" s="2" t="s">
        <v>5615</v>
      </c>
    </row>
    <row r="948" spans="1:11" x14ac:dyDescent="0.25">
      <c r="A948" s="2" t="s">
        <v>2822</v>
      </c>
      <c r="B948" s="2" t="str">
        <f>"V2079911150001"</f>
        <v>V2079911150001</v>
      </c>
      <c r="C948" s="2" t="s">
        <v>5616</v>
      </c>
      <c r="D948" s="2" t="s">
        <v>5569</v>
      </c>
      <c r="E948" s="2" t="s">
        <v>4163</v>
      </c>
      <c r="F948" s="2" t="s">
        <v>13</v>
      </c>
      <c r="H948" s="2">
        <v>2012</v>
      </c>
      <c r="I948" s="2" t="s">
        <v>5617</v>
      </c>
      <c r="J948" s="2" t="s">
        <v>15</v>
      </c>
      <c r="K948" s="2" t="s">
        <v>5618</v>
      </c>
    </row>
    <row r="949" spans="1:11" x14ac:dyDescent="0.25">
      <c r="A949" s="2" t="s">
        <v>2822</v>
      </c>
      <c r="B949" s="2" t="str">
        <f>"V2079918489001"</f>
        <v>V2079918489001</v>
      </c>
      <c r="C949" s="2" t="s">
        <v>5619</v>
      </c>
      <c r="D949" s="2" t="s">
        <v>5569</v>
      </c>
      <c r="E949" s="2" t="s">
        <v>4163</v>
      </c>
      <c r="F949" s="2" t="s">
        <v>13</v>
      </c>
      <c r="H949" s="2">
        <v>2012</v>
      </c>
      <c r="I949" s="2" t="s">
        <v>5620</v>
      </c>
      <c r="J949" s="2" t="s">
        <v>15</v>
      </c>
      <c r="K949" s="2" t="s">
        <v>5621</v>
      </c>
    </row>
    <row r="950" spans="1:11" x14ac:dyDescent="0.25">
      <c r="A950" s="2" t="s">
        <v>2822</v>
      </c>
      <c r="B950" s="2" t="str">
        <f>"V2079902190001"</f>
        <v>V2079902190001</v>
      </c>
      <c r="C950" s="2" t="s">
        <v>5622</v>
      </c>
      <c r="D950" s="2" t="s">
        <v>5569</v>
      </c>
      <c r="E950" s="2" t="s">
        <v>4163</v>
      </c>
      <c r="F950" s="2" t="s">
        <v>13</v>
      </c>
      <c r="H950" s="2">
        <v>2012</v>
      </c>
      <c r="I950" s="2" t="s">
        <v>5623</v>
      </c>
      <c r="J950" s="2" t="s">
        <v>15</v>
      </c>
      <c r="K950" s="2" t="s">
        <v>5624</v>
      </c>
    </row>
    <row r="951" spans="1:11" x14ac:dyDescent="0.25">
      <c r="A951" s="2" t="s">
        <v>2822</v>
      </c>
      <c r="B951" s="2" t="str">
        <f>"V2079911149001"</f>
        <v>V2079911149001</v>
      </c>
      <c r="C951" s="2" t="s">
        <v>5625</v>
      </c>
      <c r="D951" s="2" t="s">
        <v>5569</v>
      </c>
      <c r="E951" s="2" t="s">
        <v>4163</v>
      </c>
      <c r="F951" s="2" t="s">
        <v>13</v>
      </c>
      <c r="H951" s="2">
        <v>2012</v>
      </c>
      <c r="I951" s="2" t="s">
        <v>5626</v>
      </c>
      <c r="J951" s="2" t="s">
        <v>15</v>
      </c>
      <c r="K951" s="2" t="s">
        <v>5627</v>
      </c>
    </row>
    <row r="952" spans="1:11" x14ac:dyDescent="0.25">
      <c r="A952" s="2" t="s">
        <v>2822</v>
      </c>
      <c r="B952" s="2" t="str">
        <f>"V6089737880001"</f>
        <v>V6089737880001</v>
      </c>
      <c r="C952" s="2" t="s">
        <v>5628</v>
      </c>
      <c r="E952" s="2" t="s">
        <v>3486</v>
      </c>
      <c r="F952" s="2" t="s">
        <v>13</v>
      </c>
      <c r="H952" s="2">
        <v>2019</v>
      </c>
      <c r="I952" s="2" t="s">
        <v>5629</v>
      </c>
      <c r="J952" s="2" t="s">
        <v>15</v>
      </c>
      <c r="K952" s="2" t="s">
        <v>5630</v>
      </c>
    </row>
    <row r="953" spans="1:11" x14ac:dyDescent="0.25">
      <c r="A953" s="2" t="s">
        <v>2822</v>
      </c>
      <c r="B953" s="2" t="str">
        <f>"V6089741333001"</f>
        <v>V6089741333001</v>
      </c>
      <c r="C953" s="2" t="s">
        <v>5631</v>
      </c>
      <c r="E953" s="2" t="s">
        <v>3486</v>
      </c>
      <c r="F953" s="2" t="s">
        <v>13</v>
      </c>
      <c r="H953" s="2">
        <v>2019</v>
      </c>
      <c r="I953" s="2" t="s">
        <v>5632</v>
      </c>
      <c r="J953" s="2" t="s">
        <v>15</v>
      </c>
      <c r="K953" s="2" t="s">
        <v>5633</v>
      </c>
    </row>
    <row r="954" spans="1:11" x14ac:dyDescent="0.25">
      <c r="A954" s="2" t="s">
        <v>2822</v>
      </c>
      <c r="B954" s="2" t="str">
        <f>"V6089739849001"</f>
        <v>V6089739849001</v>
      </c>
      <c r="C954" s="2" t="s">
        <v>5634</v>
      </c>
      <c r="E954" s="2" t="s">
        <v>3486</v>
      </c>
      <c r="F954" s="2" t="s">
        <v>13</v>
      </c>
      <c r="H954" s="2">
        <v>2019</v>
      </c>
      <c r="I954" s="2" t="s">
        <v>5635</v>
      </c>
      <c r="J954" s="2" t="s">
        <v>15</v>
      </c>
      <c r="K954" s="2" t="s">
        <v>5636</v>
      </c>
    </row>
    <row r="955" spans="1:11" x14ac:dyDescent="0.25">
      <c r="A955" s="2" t="s">
        <v>2822</v>
      </c>
      <c r="B955" s="2" t="str">
        <f>"V6089736577001"</f>
        <v>V6089736577001</v>
      </c>
      <c r="C955" s="2" t="s">
        <v>5637</v>
      </c>
      <c r="E955" s="2" t="s">
        <v>3486</v>
      </c>
      <c r="F955" s="2" t="s">
        <v>13</v>
      </c>
      <c r="H955" s="2">
        <v>2019</v>
      </c>
      <c r="I955" s="2" t="s">
        <v>5638</v>
      </c>
      <c r="J955" s="2" t="s">
        <v>15</v>
      </c>
      <c r="K955" s="2" t="s">
        <v>5639</v>
      </c>
    </row>
    <row r="956" spans="1:11" x14ac:dyDescent="0.25">
      <c r="A956" s="2" t="s">
        <v>2822</v>
      </c>
      <c r="B956" s="2" t="str">
        <f>"V6089744601001"</f>
        <v>V6089744601001</v>
      </c>
      <c r="C956" s="2" t="s">
        <v>5640</v>
      </c>
      <c r="E956" s="2" t="s">
        <v>3486</v>
      </c>
      <c r="F956" s="2" t="s">
        <v>13</v>
      </c>
      <c r="H956" s="2">
        <v>2019</v>
      </c>
      <c r="I956" s="2" t="s">
        <v>5641</v>
      </c>
      <c r="J956" s="2" t="s">
        <v>15</v>
      </c>
      <c r="K956" s="2" t="s">
        <v>5642</v>
      </c>
    </row>
    <row r="957" spans="1:11" x14ac:dyDescent="0.25">
      <c r="A957" s="2" t="s">
        <v>2822</v>
      </c>
      <c r="B957" s="2" t="str">
        <f>"V4768289496001"</f>
        <v>V4768289496001</v>
      </c>
      <c r="C957" s="2" t="s">
        <v>5643</v>
      </c>
      <c r="D957" s="2" t="s">
        <v>2172</v>
      </c>
      <c r="E957" s="2" t="s">
        <v>2824</v>
      </c>
      <c r="F957" s="2" t="s">
        <v>13</v>
      </c>
      <c r="H957" s="2">
        <v>2016</v>
      </c>
      <c r="I957" s="2" t="s">
        <v>2825</v>
      </c>
      <c r="J957" s="2" t="s">
        <v>15</v>
      </c>
      <c r="K957" s="2" t="s">
        <v>5644</v>
      </c>
    </row>
    <row r="958" spans="1:11" x14ac:dyDescent="0.25">
      <c r="A958" s="2" t="s">
        <v>2822</v>
      </c>
      <c r="B958" s="2" t="str">
        <f>"V4768153300001"</f>
        <v>V4768153300001</v>
      </c>
      <c r="C958" s="2" t="s">
        <v>5645</v>
      </c>
      <c r="D958" s="2" t="s">
        <v>2172</v>
      </c>
      <c r="E958" s="2" t="s">
        <v>2824</v>
      </c>
      <c r="F958" s="2" t="s">
        <v>13</v>
      </c>
      <c r="H958" s="2">
        <v>2016</v>
      </c>
      <c r="I958" s="2" t="s">
        <v>2825</v>
      </c>
      <c r="J958" s="2" t="s">
        <v>15</v>
      </c>
      <c r="K958" s="2" t="s">
        <v>5646</v>
      </c>
    </row>
    <row r="959" spans="1:11" x14ac:dyDescent="0.25">
      <c r="A959" s="2" t="s">
        <v>2822</v>
      </c>
      <c r="B959" s="2" t="str">
        <f>"V1402349024001"</f>
        <v>V1402349024001</v>
      </c>
      <c r="C959" s="2" t="s">
        <v>5647</v>
      </c>
      <c r="D959" s="2" t="s">
        <v>2358</v>
      </c>
      <c r="E959" s="2" t="s">
        <v>3087</v>
      </c>
      <c r="F959" s="2" t="s">
        <v>13</v>
      </c>
      <c r="H959" s="2">
        <v>2011</v>
      </c>
      <c r="I959" s="2" t="s">
        <v>5648</v>
      </c>
      <c r="J959" s="2" t="s">
        <v>15</v>
      </c>
      <c r="K959" s="2" t="s">
        <v>5649</v>
      </c>
    </row>
    <row r="960" spans="1:11" x14ac:dyDescent="0.25">
      <c r="A960" s="2" t="s">
        <v>2822</v>
      </c>
      <c r="B960" s="2" t="str">
        <f>"V1402374722001"</f>
        <v>V1402374722001</v>
      </c>
      <c r="C960" s="2" t="s">
        <v>5650</v>
      </c>
      <c r="D960" s="2" t="s">
        <v>2358</v>
      </c>
      <c r="E960" s="2" t="s">
        <v>3269</v>
      </c>
      <c r="F960" s="2" t="s">
        <v>13</v>
      </c>
      <c r="H960" s="2">
        <v>2011</v>
      </c>
      <c r="I960" s="2" t="s">
        <v>5651</v>
      </c>
      <c r="J960" s="2" t="s">
        <v>15</v>
      </c>
      <c r="K960" s="2" t="s">
        <v>5652</v>
      </c>
    </row>
    <row r="961" spans="1:11" x14ac:dyDescent="0.25">
      <c r="A961" s="2" t="s">
        <v>2822</v>
      </c>
      <c r="B961" s="2" t="str">
        <f>"V4768289497001"</f>
        <v>V4768289497001</v>
      </c>
      <c r="C961" s="2" t="s">
        <v>5653</v>
      </c>
      <c r="D961" s="2" t="s">
        <v>2172</v>
      </c>
      <c r="E961" s="2" t="s">
        <v>2824</v>
      </c>
      <c r="F961" s="2" t="s">
        <v>13</v>
      </c>
      <c r="H961" s="2">
        <v>2016</v>
      </c>
      <c r="I961" s="2" t="s">
        <v>2825</v>
      </c>
      <c r="J961" s="2" t="s">
        <v>15</v>
      </c>
      <c r="K961" s="2" t="s">
        <v>5654</v>
      </c>
    </row>
    <row r="962" spans="1:11" x14ac:dyDescent="0.25">
      <c r="A962" s="2" t="s">
        <v>2822</v>
      </c>
      <c r="B962" s="2" t="str">
        <f>"V4768180279001"</f>
        <v>V4768180279001</v>
      </c>
      <c r="C962" s="2" t="s">
        <v>5655</v>
      </c>
      <c r="D962" s="2" t="s">
        <v>2172</v>
      </c>
      <c r="E962" s="2" t="s">
        <v>2824</v>
      </c>
      <c r="F962" s="2" t="s">
        <v>13</v>
      </c>
      <c r="H962" s="2">
        <v>2016</v>
      </c>
      <c r="I962" s="2" t="s">
        <v>2825</v>
      </c>
      <c r="J962" s="2" t="s">
        <v>15</v>
      </c>
      <c r="K962" s="2" t="s">
        <v>5656</v>
      </c>
    </row>
    <row r="963" spans="1:11" x14ac:dyDescent="0.25">
      <c r="A963" s="2" t="s">
        <v>2822</v>
      </c>
      <c r="B963" s="2" t="str">
        <f>"V4768134742001"</f>
        <v>V4768134742001</v>
      </c>
      <c r="C963" s="2" t="s">
        <v>5657</v>
      </c>
      <c r="D963" s="2" t="s">
        <v>2172</v>
      </c>
      <c r="E963" s="2" t="s">
        <v>2824</v>
      </c>
      <c r="F963" s="2" t="s">
        <v>13</v>
      </c>
      <c r="H963" s="2">
        <v>2016</v>
      </c>
      <c r="I963" s="2" t="s">
        <v>2825</v>
      </c>
      <c r="J963" s="2" t="s">
        <v>15</v>
      </c>
      <c r="K963" s="2" t="s">
        <v>5658</v>
      </c>
    </row>
    <row r="964" spans="1:11" x14ac:dyDescent="0.25">
      <c r="A964" s="2" t="s">
        <v>2822</v>
      </c>
      <c r="B964" s="2" t="str">
        <f>"V4768289500001"</f>
        <v>V4768289500001</v>
      </c>
      <c r="C964" s="2" t="s">
        <v>5659</v>
      </c>
      <c r="D964" s="2" t="s">
        <v>2172</v>
      </c>
      <c r="E964" s="2" t="s">
        <v>2824</v>
      </c>
      <c r="F964" s="2" t="s">
        <v>13</v>
      </c>
      <c r="H964" s="2">
        <v>2016</v>
      </c>
      <c r="I964" s="2" t="s">
        <v>2825</v>
      </c>
      <c r="J964" s="2" t="s">
        <v>15</v>
      </c>
      <c r="K964" s="2" t="s">
        <v>5660</v>
      </c>
    </row>
    <row r="965" spans="1:11" x14ac:dyDescent="0.25">
      <c r="A965" s="2" t="s">
        <v>2822</v>
      </c>
      <c r="B965" s="2" t="str">
        <f>"V1836246984001"</f>
        <v>V1836246984001</v>
      </c>
      <c r="C965" s="2" t="s">
        <v>5661</v>
      </c>
      <c r="D965" s="2" t="s">
        <v>3086</v>
      </c>
      <c r="E965" s="2" t="s">
        <v>3087</v>
      </c>
      <c r="F965" s="2" t="s">
        <v>13</v>
      </c>
      <c r="H965" s="2">
        <v>2012</v>
      </c>
      <c r="I965" s="2" t="s">
        <v>5662</v>
      </c>
      <c r="J965" s="2" t="s">
        <v>15</v>
      </c>
      <c r="K965" s="2" t="s">
        <v>5663</v>
      </c>
    </row>
    <row r="966" spans="1:11" x14ac:dyDescent="0.25">
      <c r="A966" s="2" t="s">
        <v>2822</v>
      </c>
      <c r="B966" s="2" t="str">
        <f>"V1836229561001"</f>
        <v>V1836229561001</v>
      </c>
      <c r="C966" s="2" t="s">
        <v>5664</v>
      </c>
      <c r="D966" s="2" t="s">
        <v>3086</v>
      </c>
      <c r="E966" s="2" t="s">
        <v>3087</v>
      </c>
      <c r="F966" s="2" t="s">
        <v>13</v>
      </c>
      <c r="H966" s="2">
        <v>2012</v>
      </c>
      <c r="I966" s="2" t="s">
        <v>5665</v>
      </c>
      <c r="J966" s="2" t="s">
        <v>15</v>
      </c>
      <c r="K966" s="2" t="s">
        <v>5666</v>
      </c>
    </row>
    <row r="967" spans="1:11" x14ac:dyDescent="0.25">
      <c r="A967" s="2" t="s">
        <v>2822</v>
      </c>
      <c r="B967" s="2" t="str">
        <f>"V1836229553001"</f>
        <v>V1836229553001</v>
      </c>
      <c r="C967" s="2" t="s">
        <v>5667</v>
      </c>
      <c r="D967" s="2" t="s">
        <v>3086</v>
      </c>
      <c r="E967" s="2" t="s">
        <v>3087</v>
      </c>
      <c r="F967" s="2" t="s">
        <v>13</v>
      </c>
      <c r="H967" s="2">
        <v>2012</v>
      </c>
      <c r="I967" s="2" t="s">
        <v>5668</v>
      </c>
      <c r="J967" s="2" t="s">
        <v>15</v>
      </c>
      <c r="K967" s="2" t="s">
        <v>5669</v>
      </c>
    </row>
    <row r="968" spans="1:11" x14ac:dyDescent="0.25">
      <c r="A968" s="2" t="s">
        <v>2822</v>
      </c>
      <c r="B968" s="2" t="str">
        <f>"V1402349027001"</f>
        <v>V1402349027001</v>
      </c>
      <c r="C968" s="2" t="s">
        <v>5670</v>
      </c>
      <c r="D968" s="2" t="s">
        <v>2358</v>
      </c>
      <c r="E968" s="2" t="s">
        <v>3087</v>
      </c>
      <c r="F968" s="2" t="s">
        <v>13</v>
      </c>
      <c r="H968" s="2">
        <v>2011</v>
      </c>
      <c r="I968" s="2" t="s">
        <v>5671</v>
      </c>
      <c r="J968" s="2" t="s">
        <v>15</v>
      </c>
      <c r="K968" s="2" t="s">
        <v>5672</v>
      </c>
    </row>
    <row r="969" spans="1:11" x14ac:dyDescent="0.25">
      <c r="A969" s="2" t="s">
        <v>2822</v>
      </c>
      <c r="B969" s="2" t="str">
        <f>"V1836246972001"</f>
        <v>V1836246972001</v>
      </c>
      <c r="C969" s="2" t="s">
        <v>5673</v>
      </c>
      <c r="D969" s="2" t="s">
        <v>3086</v>
      </c>
      <c r="E969" s="2" t="s">
        <v>3087</v>
      </c>
      <c r="F969" s="2" t="s">
        <v>13</v>
      </c>
      <c r="H969" s="2">
        <v>2012</v>
      </c>
      <c r="I969" s="2" t="s">
        <v>5674</v>
      </c>
      <c r="J969" s="2" t="s">
        <v>15</v>
      </c>
      <c r="K969" s="2" t="s">
        <v>5675</v>
      </c>
    </row>
    <row r="970" spans="1:11" x14ac:dyDescent="0.25">
      <c r="A970" s="2" t="s">
        <v>2822</v>
      </c>
      <c r="B970" s="2" t="str">
        <f>"V1840957023001"</f>
        <v>V1840957023001</v>
      </c>
      <c r="C970" s="2" t="s">
        <v>5676</v>
      </c>
      <c r="D970" s="2" t="s">
        <v>3086</v>
      </c>
      <c r="E970" s="2" t="s">
        <v>3087</v>
      </c>
      <c r="F970" s="2" t="s">
        <v>13</v>
      </c>
      <c r="H970" s="2">
        <v>2012</v>
      </c>
      <c r="I970" s="2" t="s">
        <v>5677</v>
      </c>
      <c r="J970" s="2" t="s">
        <v>15</v>
      </c>
      <c r="K970" s="2" t="s">
        <v>5678</v>
      </c>
    </row>
    <row r="971" spans="1:11" x14ac:dyDescent="0.25">
      <c r="A971" s="2" t="s">
        <v>2822</v>
      </c>
      <c r="B971" s="2" t="str">
        <f>"V2538364112001"</f>
        <v>V2538364112001</v>
      </c>
      <c r="C971" s="2" t="s">
        <v>5679</v>
      </c>
      <c r="D971" s="2" t="s">
        <v>1777</v>
      </c>
      <c r="E971" s="2" t="s">
        <v>5680</v>
      </c>
      <c r="F971" s="2" t="s">
        <v>13</v>
      </c>
      <c r="H971" s="2">
        <v>2013</v>
      </c>
      <c r="I971" s="2" t="s">
        <v>5681</v>
      </c>
      <c r="J971" s="2" t="s">
        <v>15</v>
      </c>
      <c r="K971" s="2" t="s">
        <v>5682</v>
      </c>
    </row>
    <row r="972" spans="1:11" x14ac:dyDescent="0.25">
      <c r="A972" s="2" t="s">
        <v>2822</v>
      </c>
      <c r="B972" s="2" t="str">
        <f>"V2537194253001"</f>
        <v>V2537194253001</v>
      </c>
      <c r="C972" s="2" t="s">
        <v>5683</v>
      </c>
      <c r="D972" s="2" t="s">
        <v>1734</v>
      </c>
      <c r="E972" s="2" t="s">
        <v>5680</v>
      </c>
      <c r="F972" s="2" t="s">
        <v>13</v>
      </c>
      <c r="H972" s="2">
        <v>2013</v>
      </c>
      <c r="I972" s="2" t="s">
        <v>5684</v>
      </c>
      <c r="J972" s="2" t="s">
        <v>15</v>
      </c>
      <c r="K972" s="2" t="s">
        <v>5685</v>
      </c>
    </row>
    <row r="973" spans="1:11" x14ac:dyDescent="0.25">
      <c r="A973" s="2" t="s">
        <v>2822</v>
      </c>
      <c r="B973" s="2" t="str">
        <f>"V2537194263001"</f>
        <v>V2537194263001</v>
      </c>
      <c r="C973" s="2" t="s">
        <v>5686</v>
      </c>
      <c r="D973" s="2" t="s">
        <v>1734</v>
      </c>
      <c r="E973" s="2" t="s">
        <v>5680</v>
      </c>
      <c r="F973" s="2" t="s">
        <v>13</v>
      </c>
      <c r="H973" s="2">
        <v>2013</v>
      </c>
      <c r="I973" s="2" t="s">
        <v>5687</v>
      </c>
      <c r="J973" s="2" t="s">
        <v>15</v>
      </c>
      <c r="K973" s="2" t="s">
        <v>5688</v>
      </c>
    </row>
    <row r="974" spans="1:11" x14ac:dyDescent="0.25">
      <c r="A974" s="2" t="s">
        <v>2822</v>
      </c>
      <c r="B974" s="2" t="str">
        <f>"V2538386748001"</f>
        <v>V2538386748001</v>
      </c>
      <c r="C974" s="2" t="s">
        <v>5689</v>
      </c>
      <c r="D974" s="2" t="s">
        <v>1777</v>
      </c>
      <c r="E974" s="2" t="s">
        <v>5680</v>
      </c>
      <c r="F974" s="2" t="s">
        <v>13</v>
      </c>
      <c r="H974" s="2">
        <v>2013</v>
      </c>
      <c r="I974" s="2" t="s">
        <v>5690</v>
      </c>
      <c r="J974" s="2" t="s">
        <v>15</v>
      </c>
      <c r="K974" s="2" t="s">
        <v>5691</v>
      </c>
    </row>
    <row r="975" spans="1:11" x14ac:dyDescent="0.25">
      <c r="A975" s="2" t="s">
        <v>2822</v>
      </c>
      <c r="B975" s="2" t="str">
        <f>"V2537194264001"</f>
        <v>V2537194264001</v>
      </c>
      <c r="C975" s="2" t="s">
        <v>5692</v>
      </c>
      <c r="D975" s="2" t="s">
        <v>1734</v>
      </c>
      <c r="E975" s="2" t="s">
        <v>5680</v>
      </c>
      <c r="F975" s="2" t="s">
        <v>13</v>
      </c>
      <c r="H975" s="2">
        <v>2013</v>
      </c>
      <c r="I975" s="2" t="s">
        <v>5693</v>
      </c>
      <c r="J975" s="2" t="s">
        <v>15</v>
      </c>
      <c r="K975" s="2" t="s">
        <v>5694</v>
      </c>
    </row>
    <row r="976" spans="1:11" x14ac:dyDescent="0.25">
      <c r="A976" s="2" t="s">
        <v>2822</v>
      </c>
      <c r="B976" s="2" t="str">
        <f>"V2538386749001"</f>
        <v>V2538386749001</v>
      </c>
      <c r="C976" s="2" t="s">
        <v>5695</v>
      </c>
      <c r="D976" s="2" t="s">
        <v>1777</v>
      </c>
      <c r="E976" s="2" t="s">
        <v>5680</v>
      </c>
      <c r="F976" s="2" t="s">
        <v>13</v>
      </c>
      <c r="H976" s="2">
        <v>2013</v>
      </c>
      <c r="I976" s="2" t="s">
        <v>5696</v>
      </c>
      <c r="J976" s="2" t="s">
        <v>15</v>
      </c>
      <c r="K976" s="2" t="s">
        <v>5697</v>
      </c>
    </row>
    <row r="977" spans="1:11" x14ac:dyDescent="0.25">
      <c r="A977" s="2" t="s">
        <v>2822</v>
      </c>
      <c r="B977" s="2" t="str">
        <f>"V2538386750001"</f>
        <v>V2538386750001</v>
      </c>
      <c r="C977" s="2" t="s">
        <v>5698</v>
      </c>
      <c r="D977" s="2" t="s">
        <v>1777</v>
      </c>
      <c r="E977" s="2" t="s">
        <v>5680</v>
      </c>
      <c r="F977" s="2" t="s">
        <v>13</v>
      </c>
      <c r="H977" s="2">
        <v>2013</v>
      </c>
      <c r="I977" s="2" t="s">
        <v>5699</v>
      </c>
      <c r="J977" s="2" t="s">
        <v>15</v>
      </c>
      <c r="K977" s="2" t="s">
        <v>5700</v>
      </c>
    </row>
    <row r="978" spans="1:11" x14ac:dyDescent="0.25">
      <c r="A978" s="2" t="s">
        <v>2822</v>
      </c>
      <c r="B978" s="2" t="str">
        <f>"V2537194265001"</f>
        <v>V2537194265001</v>
      </c>
      <c r="C978" s="2" t="s">
        <v>5701</v>
      </c>
      <c r="D978" s="2" t="s">
        <v>1734</v>
      </c>
      <c r="E978" s="2" t="s">
        <v>5680</v>
      </c>
      <c r="F978" s="2" t="s">
        <v>13</v>
      </c>
      <c r="H978" s="2">
        <v>2013</v>
      </c>
      <c r="I978" s="2" t="s">
        <v>5702</v>
      </c>
      <c r="J978" s="2" t="s">
        <v>15</v>
      </c>
      <c r="K978" s="2" t="s">
        <v>5703</v>
      </c>
    </row>
    <row r="979" spans="1:11" x14ac:dyDescent="0.25">
      <c r="A979" s="2" t="s">
        <v>2822</v>
      </c>
      <c r="B979" s="2" t="str">
        <f>"V2538386751001"</f>
        <v>V2538386751001</v>
      </c>
      <c r="C979" s="2" t="s">
        <v>5704</v>
      </c>
      <c r="D979" s="2" t="s">
        <v>1777</v>
      </c>
      <c r="E979" s="2" t="s">
        <v>5680</v>
      </c>
      <c r="F979" s="2" t="s">
        <v>13</v>
      </c>
      <c r="H979" s="2">
        <v>2013</v>
      </c>
      <c r="I979" s="2" t="s">
        <v>5705</v>
      </c>
      <c r="J979" s="2" t="s">
        <v>15</v>
      </c>
      <c r="K979" s="2" t="s">
        <v>5706</v>
      </c>
    </row>
    <row r="980" spans="1:11" x14ac:dyDescent="0.25">
      <c r="A980" s="2" t="s">
        <v>2822</v>
      </c>
      <c r="B980" s="2" t="str">
        <f>"V2537194266001"</f>
        <v>V2537194266001</v>
      </c>
      <c r="C980" s="2" t="s">
        <v>5707</v>
      </c>
      <c r="D980" s="2" t="s">
        <v>1734</v>
      </c>
      <c r="E980" s="2" t="s">
        <v>5680</v>
      </c>
      <c r="F980" s="2" t="s">
        <v>13</v>
      </c>
      <c r="H980" s="2">
        <v>2013</v>
      </c>
      <c r="I980" s="2" t="s">
        <v>5708</v>
      </c>
      <c r="J980" s="2" t="s">
        <v>15</v>
      </c>
      <c r="K980" s="2" t="s">
        <v>5709</v>
      </c>
    </row>
    <row r="981" spans="1:11" x14ac:dyDescent="0.25">
      <c r="A981" s="2" t="s">
        <v>2822</v>
      </c>
      <c r="B981" s="2" t="str">
        <f>"V2538386752001"</f>
        <v>V2538386752001</v>
      </c>
      <c r="C981" s="2" t="s">
        <v>5710</v>
      </c>
      <c r="D981" s="2" t="s">
        <v>1777</v>
      </c>
      <c r="E981" s="2" t="s">
        <v>5680</v>
      </c>
      <c r="F981" s="2" t="s">
        <v>13</v>
      </c>
      <c r="H981" s="2">
        <v>2013</v>
      </c>
      <c r="I981" s="2" t="s">
        <v>5711</v>
      </c>
      <c r="J981" s="2" t="s">
        <v>15</v>
      </c>
      <c r="K981" s="2" t="s">
        <v>5712</v>
      </c>
    </row>
    <row r="982" spans="1:11" x14ac:dyDescent="0.25">
      <c r="A982" s="2" t="s">
        <v>2822</v>
      </c>
      <c r="B982" s="2" t="str">
        <f>"V2538386753001"</f>
        <v>V2538386753001</v>
      </c>
      <c r="C982" s="2" t="s">
        <v>5713</v>
      </c>
      <c r="D982" s="2" t="s">
        <v>1777</v>
      </c>
      <c r="E982" s="2" t="s">
        <v>5680</v>
      </c>
      <c r="F982" s="2" t="s">
        <v>13</v>
      </c>
      <c r="H982" s="2">
        <v>2013</v>
      </c>
      <c r="I982" s="2" t="s">
        <v>5714</v>
      </c>
      <c r="J982" s="2" t="s">
        <v>15</v>
      </c>
      <c r="K982" s="2" t="s">
        <v>5715</v>
      </c>
    </row>
    <row r="983" spans="1:11" x14ac:dyDescent="0.25">
      <c r="A983" s="2" t="s">
        <v>2822</v>
      </c>
      <c r="B983" s="2" t="str">
        <f>"V2537194267001"</f>
        <v>V2537194267001</v>
      </c>
      <c r="C983" s="2" t="s">
        <v>5716</v>
      </c>
      <c r="D983" s="2" t="s">
        <v>1734</v>
      </c>
      <c r="E983" s="2" t="s">
        <v>5680</v>
      </c>
      <c r="F983" s="2" t="s">
        <v>13</v>
      </c>
      <c r="H983" s="2">
        <v>2013</v>
      </c>
      <c r="I983" s="2" t="s">
        <v>5717</v>
      </c>
      <c r="J983" s="2" t="s">
        <v>15</v>
      </c>
      <c r="K983" s="2" t="s">
        <v>5718</v>
      </c>
    </row>
    <row r="984" spans="1:11" x14ac:dyDescent="0.25">
      <c r="A984" s="2" t="s">
        <v>2822</v>
      </c>
      <c r="B984" s="2" t="str">
        <f>"V2538386754001"</f>
        <v>V2538386754001</v>
      </c>
      <c r="C984" s="2" t="s">
        <v>5719</v>
      </c>
      <c r="D984" s="2" t="s">
        <v>1777</v>
      </c>
      <c r="E984" s="2" t="s">
        <v>5680</v>
      </c>
      <c r="F984" s="2" t="s">
        <v>13</v>
      </c>
      <c r="H984" s="2">
        <v>2013</v>
      </c>
      <c r="I984" s="2" t="s">
        <v>5720</v>
      </c>
      <c r="J984" s="2" t="s">
        <v>15</v>
      </c>
      <c r="K984" s="2" t="s">
        <v>5721</v>
      </c>
    </row>
    <row r="985" spans="1:11" x14ac:dyDescent="0.25">
      <c r="A985" s="2" t="s">
        <v>2822</v>
      </c>
      <c r="B985" s="2" t="str">
        <f>"V2537194268001"</f>
        <v>V2537194268001</v>
      </c>
      <c r="C985" s="2" t="s">
        <v>5722</v>
      </c>
      <c r="D985" s="2" t="s">
        <v>1734</v>
      </c>
      <c r="E985" s="2" t="s">
        <v>5680</v>
      </c>
      <c r="F985" s="2" t="s">
        <v>13</v>
      </c>
      <c r="H985" s="2">
        <v>2013</v>
      </c>
      <c r="I985" s="2" t="s">
        <v>5723</v>
      </c>
      <c r="J985" s="2" t="s">
        <v>15</v>
      </c>
      <c r="K985" s="2" t="s">
        <v>5724</v>
      </c>
    </row>
    <row r="986" spans="1:11" x14ac:dyDescent="0.25">
      <c r="A986" s="2" t="s">
        <v>2822</v>
      </c>
      <c r="B986" s="2" t="str">
        <f>"V2538386755001"</f>
        <v>V2538386755001</v>
      </c>
      <c r="C986" s="2" t="s">
        <v>5725</v>
      </c>
      <c r="D986" s="2" t="s">
        <v>1777</v>
      </c>
      <c r="E986" s="2" t="s">
        <v>5680</v>
      </c>
      <c r="F986" s="2" t="s">
        <v>13</v>
      </c>
      <c r="H986" s="2">
        <v>2013</v>
      </c>
      <c r="I986" s="2" t="s">
        <v>5726</v>
      </c>
      <c r="J986" s="2" t="s">
        <v>15</v>
      </c>
      <c r="K986" s="2" t="s">
        <v>5727</v>
      </c>
    </row>
    <row r="987" spans="1:11" x14ac:dyDescent="0.25">
      <c r="A987" s="2" t="s">
        <v>2822</v>
      </c>
      <c r="B987" s="2" t="str">
        <f>"V2537194269001"</f>
        <v>V2537194269001</v>
      </c>
      <c r="C987" s="2" t="s">
        <v>5728</v>
      </c>
      <c r="D987" s="2" t="s">
        <v>1734</v>
      </c>
      <c r="E987" s="2" t="s">
        <v>5680</v>
      </c>
      <c r="F987" s="2" t="s">
        <v>13</v>
      </c>
      <c r="H987" s="2">
        <v>2013</v>
      </c>
      <c r="I987" s="2" t="s">
        <v>5729</v>
      </c>
      <c r="J987" s="2" t="s">
        <v>15</v>
      </c>
      <c r="K987" s="2" t="s">
        <v>5730</v>
      </c>
    </row>
    <row r="988" spans="1:11" x14ac:dyDescent="0.25">
      <c r="A988" s="2" t="s">
        <v>2822</v>
      </c>
      <c r="B988" s="2" t="str">
        <f>"V2538386756001"</f>
        <v>V2538386756001</v>
      </c>
      <c r="C988" s="2" t="s">
        <v>5731</v>
      </c>
      <c r="D988" s="2" t="s">
        <v>1777</v>
      </c>
      <c r="E988" s="2" t="s">
        <v>5680</v>
      </c>
      <c r="F988" s="2" t="s">
        <v>13</v>
      </c>
      <c r="H988" s="2">
        <v>2013</v>
      </c>
      <c r="I988" s="2" t="s">
        <v>5732</v>
      </c>
      <c r="J988" s="2" t="s">
        <v>15</v>
      </c>
      <c r="K988" s="2" t="s">
        <v>5733</v>
      </c>
    </row>
    <row r="989" spans="1:11" x14ac:dyDescent="0.25">
      <c r="A989" s="2" t="s">
        <v>2822</v>
      </c>
      <c r="B989" s="2" t="str">
        <f>"V2538386757001"</f>
        <v>V2538386757001</v>
      </c>
      <c r="C989" s="2" t="s">
        <v>5734</v>
      </c>
      <c r="D989" s="2" t="s">
        <v>1777</v>
      </c>
      <c r="E989" s="2" t="s">
        <v>5680</v>
      </c>
      <c r="F989" s="2" t="s">
        <v>13</v>
      </c>
      <c r="H989" s="2">
        <v>2013</v>
      </c>
      <c r="I989" s="2" t="s">
        <v>5735</v>
      </c>
      <c r="J989" s="2" t="s">
        <v>15</v>
      </c>
      <c r="K989" s="2" t="s">
        <v>5736</v>
      </c>
    </row>
    <row r="990" spans="1:11" x14ac:dyDescent="0.25">
      <c r="A990" s="2" t="s">
        <v>2822</v>
      </c>
      <c r="B990" s="2" t="str">
        <f>"V2537194270001"</f>
        <v>V2537194270001</v>
      </c>
      <c r="C990" s="2" t="s">
        <v>5737</v>
      </c>
      <c r="D990" s="2" t="s">
        <v>1734</v>
      </c>
      <c r="E990" s="2" t="s">
        <v>5680</v>
      </c>
      <c r="F990" s="2" t="s">
        <v>13</v>
      </c>
      <c r="H990" s="2">
        <v>2013</v>
      </c>
      <c r="I990" s="2" t="s">
        <v>5738</v>
      </c>
      <c r="J990" s="2" t="s">
        <v>15</v>
      </c>
      <c r="K990" s="2" t="s">
        <v>5739</v>
      </c>
    </row>
    <row r="991" spans="1:11" x14ac:dyDescent="0.25">
      <c r="A991" s="2" t="s">
        <v>2822</v>
      </c>
      <c r="B991" s="2" t="str">
        <f>"V2537194271001"</f>
        <v>V2537194271001</v>
      </c>
      <c r="C991" s="2" t="s">
        <v>5740</v>
      </c>
      <c r="D991" s="2" t="s">
        <v>1734</v>
      </c>
      <c r="E991" s="2" t="s">
        <v>5680</v>
      </c>
      <c r="F991" s="2" t="s">
        <v>13</v>
      </c>
      <c r="H991" s="2">
        <v>2013</v>
      </c>
      <c r="I991" s="2" t="s">
        <v>5741</v>
      </c>
      <c r="J991" s="2" t="s">
        <v>15</v>
      </c>
      <c r="K991" s="2" t="s">
        <v>5742</v>
      </c>
    </row>
    <row r="992" spans="1:11" x14ac:dyDescent="0.25">
      <c r="A992" s="2" t="s">
        <v>2822</v>
      </c>
      <c r="B992" s="2" t="str">
        <f>"V2537194272001"</f>
        <v>V2537194272001</v>
      </c>
      <c r="C992" s="2" t="s">
        <v>5743</v>
      </c>
      <c r="D992" s="2" t="s">
        <v>1734</v>
      </c>
      <c r="E992" s="2" t="s">
        <v>5680</v>
      </c>
      <c r="F992" s="2" t="s">
        <v>13</v>
      </c>
      <c r="H992" s="2">
        <v>2013</v>
      </c>
      <c r="I992" s="2" t="s">
        <v>5744</v>
      </c>
      <c r="J992" s="2" t="s">
        <v>15</v>
      </c>
      <c r="K992" s="2" t="s">
        <v>5745</v>
      </c>
    </row>
    <row r="993" spans="1:11" x14ac:dyDescent="0.25">
      <c r="A993" s="2" t="s">
        <v>2822</v>
      </c>
      <c r="B993" s="2" t="str">
        <f>"V2538386758001"</f>
        <v>V2538386758001</v>
      </c>
      <c r="C993" s="2" t="s">
        <v>5746</v>
      </c>
      <c r="D993" s="2" t="s">
        <v>1777</v>
      </c>
      <c r="E993" s="2" t="s">
        <v>5680</v>
      </c>
      <c r="F993" s="2" t="s">
        <v>13</v>
      </c>
      <c r="H993" s="2">
        <v>2013</v>
      </c>
      <c r="I993" s="2" t="s">
        <v>5747</v>
      </c>
      <c r="J993" s="2" t="s">
        <v>15</v>
      </c>
      <c r="K993" s="2" t="s">
        <v>5748</v>
      </c>
    </row>
    <row r="994" spans="1:11" x14ac:dyDescent="0.25">
      <c r="A994" s="2" t="s">
        <v>2822</v>
      </c>
      <c r="B994" s="2" t="str">
        <f>"V2538386759001"</f>
        <v>V2538386759001</v>
      </c>
      <c r="C994" s="2" t="s">
        <v>5749</v>
      </c>
      <c r="D994" s="2" t="s">
        <v>1777</v>
      </c>
      <c r="E994" s="2" t="s">
        <v>5680</v>
      </c>
      <c r="F994" s="2" t="s">
        <v>13</v>
      </c>
      <c r="H994" s="2">
        <v>2013</v>
      </c>
      <c r="I994" s="2" t="s">
        <v>5750</v>
      </c>
      <c r="J994" s="2" t="s">
        <v>15</v>
      </c>
      <c r="K994" s="2" t="s">
        <v>5751</v>
      </c>
    </row>
    <row r="995" spans="1:11" x14ac:dyDescent="0.25">
      <c r="A995" s="2" t="s">
        <v>2822</v>
      </c>
      <c r="B995" s="2" t="str">
        <f>"V2537194273001"</f>
        <v>V2537194273001</v>
      </c>
      <c r="C995" s="2" t="s">
        <v>5752</v>
      </c>
      <c r="D995" s="2" t="s">
        <v>1734</v>
      </c>
      <c r="E995" s="2" t="s">
        <v>5680</v>
      </c>
      <c r="F995" s="2" t="s">
        <v>13</v>
      </c>
      <c r="H995" s="2">
        <v>2013</v>
      </c>
      <c r="I995" s="2" t="s">
        <v>5753</v>
      </c>
      <c r="J995" s="2" t="s">
        <v>15</v>
      </c>
      <c r="K995" s="2" t="s">
        <v>5754</v>
      </c>
    </row>
    <row r="996" spans="1:11" x14ac:dyDescent="0.25">
      <c r="A996" s="2" t="s">
        <v>2822</v>
      </c>
      <c r="B996" s="2" t="str">
        <f>"V2537194254001"</f>
        <v>V2537194254001</v>
      </c>
      <c r="C996" s="2" t="s">
        <v>5755</v>
      </c>
      <c r="D996" s="2" t="s">
        <v>1734</v>
      </c>
      <c r="E996" s="2" t="s">
        <v>5680</v>
      </c>
      <c r="F996" s="2" t="s">
        <v>13</v>
      </c>
      <c r="H996" s="2">
        <v>2013</v>
      </c>
      <c r="I996" s="2" t="s">
        <v>5756</v>
      </c>
      <c r="J996" s="2" t="s">
        <v>15</v>
      </c>
      <c r="K996" s="2" t="s">
        <v>5757</v>
      </c>
    </row>
    <row r="997" spans="1:11" x14ac:dyDescent="0.25">
      <c r="A997" s="2" t="s">
        <v>2822</v>
      </c>
      <c r="B997" s="2" t="str">
        <f>"V2538364113001"</f>
        <v>V2538364113001</v>
      </c>
      <c r="C997" s="2" t="s">
        <v>5758</v>
      </c>
      <c r="D997" s="2" t="s">
        <v>1777</v>
      </c>
      <c r="E997" s="2" t="s">
        <v>5680</v>
      </c>
      <c r="F997" s="2" t="s">
        <v>13</v>
      </c>
      <c r="H997" s="2">
        <v>2013</v>
      </c>
      <c r="I997" s="2" t="s">
        <v>5759</v>
      </c>
      <c r="J997" s="2" t="s">
        <v>15</v>
      </c>
      <c r="K997" s="2" t="s">
        <v>5760</v>
      </c>
    </row>
    <row r="998" spans="1:11" x14ac:dyDescent="0.25">
      <c r="A998" s="2" t="s">
        <v>2822</v>
      </c>
      <c r="B998" s="2" t="str">
        <f>"V2537194274001"</f>
        <v>V2537194274001</v>
      </c>
      <c r="C998" s="2" t="s">
        <v>5761</v>
      </c>
      <c r="D998" s="2" t="s">
        <v>1734</v>
      </c>
      <c r="E998" s="2" t="s">
        <v>5680</v>
      </c>
      <c r="F998" s="2" t="s">
        <v>13</v>
      </c>
      <c r="H998" s="2">
        <v>2013</v>
      </c>
      <c r="I998" s="2" t="s">
        <v>5762</v>
      </c>
      <c r="J998" s="2" t="s">
        <v>15</v>
      </c>
      <c r="K998" s="2" t="s">
        <v>5763</v>
      </c>
    </row>
    <row r="999" spans="1:11" x14ac:dyDescent="0.25">
      <c r="A999" s="2" t="s">
        <v>2822</v>
      </c>
      <c r="B999" s="2" t="str">
        <f>"V2537194275001"</f>
        <v>V2537194275001</v>
      </c>
      <c r="C999" s="2" t="s">
        <v>5764</v>
      </c>
      <c r="D999" s="2" t="s">
        <v>1734</v>
      </c>
      <c r="E999" s="2" t="s">
        <v>5680</v>
      </c>
      <c r="F999" s="2" t="s">
        <v>13</v>
      </c>
      <c r="H999" s="2">
        <v>2013</v>
      </c>
      <c r="I999" s="2" t="s">
        <v>5765</v>
      </c>
      <c r="J999" s="2" t="s">
        <v>15</v>
      </c>
      <c r="K999" s="2" t="s">
        <v>5766</v>
      </c>
    </row>
    <row r="1000" spans="1:11" x14ac:dyDescent="0.25">
      <c r="A1000" s="2" t="s">
        <v>2822</v>
      </c>
      <c r="B1000" s="2" t="str">
        <f>"V2537194255001"</f>
        <v>V2537194255001</v>
      </c>
      <c r="C1000" s="2" t="s">
        <v>5767</v>
      </c>
      <c r="D1000" s="2" t="s">
        <v>1734</v>
      </c>
      <c r="E1000" s="2" t="s">
        <v>5680</v>
      </c>
      <c r="F1000" s="2" t="s">
        <v>13</v>
      </c>
      <c r="H1000" s="2">
        <v>2013</v>
      </c>
      <c r="I1000" s="2" t="s">
        <v>5768</v>
      </c>
      <c r="J1000" s="2" t="s">
        <v>15</v>
      </c>
      <c r="K1000" s="2" t="s">
        <v>5769</v>
      </c>
    </row>
    <row r="1001" spans="1:11" x14ac:dyDescent="0.25">
      <c r="A1001" s="2" t="s">
        <v>2822</v>
      </c>
      <c r="B1001" s="2" t="str">
        <f>"V2538364114001"</f>
        <v>V2538364114001</v>
      </c>
      <c r="C1001" s="2" t="s">
        <v>5767</v>
      </c>
      <c r="D1001" s="2" t="s">
        <v>1777</v>
      </c>
      <c r="E1001" s="2" t="s">
        <v>5680</v>
      </c>
      <c r="F1001" s="2" t="s">
        <v>13</v>
      </c>
      <c r="H1001" s="2">
        <v>2013</v>
      </c>
      <c r="I1001" s="2" t="s">
        <v>5770</v>
      </c>
      <c r="J1001" s="2" t="s">
        <v>15</v>
      </c>
      <c r="K1001" s="2" t="s">
        <v>5771</v>
      </c>
    </row>
    <row r="1002" spans="1:11" x14ac:dyDescent="0.25">
      <c r="A1002" s="2" t="s">
        <v>2822</v>
      </c>
      <c r="B1002" s="2" t="str">
        <f>"V2537194256001"</f>
        <v>V2537194256001</v>
      </c>
      <c r="C1002" s="2" t="s">
        <v>5772</v>
      </c>
      <c r="D1002" s="2" t="s">
        <v>1734</v>
      </c>
      <c r="E1002" s="2" t="s">
        <v>5680</v>
      </c>
      <c r="F1002" s="2" t="s">
        <v>13</v>
      </c>
      <c r="H1002" s="2">
        <v>2013</v>
      </c>
      <c r="I1002" s="2" t="s">
        <v>5773</v>
      </c>
      <c r="J1002" s="2" t="s">
        <v>15</v>
      </c>
      <c r="K1002" s="2" t="s">
        <v>5774</v>
      </c>
    </row>
    <row r="1003" spans="1:11" x14ac:dyDescent="0.25">
      <c r="A1003" s="2" t="s">
        <v>2822</v>
      </c>
      <c r="B1003" s="2" t="str">
        <f>"V2538364115001"</f>
        <v>V2538364115001</v>
      </c>
      <c r="C1003" s="2" t="s">
        <v>5775</v>
      </c>
      <c r="D1003" s="2" t="s">
        <v>1777</v>
      </c>
      <c r="E1003" s="2" t="s">
        <v>5680</v>
      </c>
      <c r="F1003" s="2" t="s">
        <v>13</v>
      </c>
      <c r="H1003" s="2">
        <v>2013</v>
      </c>
      <c r="I1003" s="2" t="s">
        <v>5776</v>
      </c>
      <c r="J1003" s="2" t="s">
        <v>15</v>
      </c>
      <c r="K1003" s="2" t="s">
        <v>5777</v>
      </c>
    </row>
    <row r="1004" spans="1:11" x14ac:dyDescent="0.25">
      <c r="A1004" s="2" t="s">
        <v>2822</v>
      </c>
      <c r="B1004" s="2" t="str">
        <f>"V2538364116001"</f>
        <v>V2538364116001</v>
      </c>
      <c r="C1004" s="2" t="s">
        <v>5778</v>
      </c>
      <c r="D1004" s="2" t="s">
        <v>1777</v>
      </c>
      <c r="E1004" s="2" t="s">
        <v>5680</v>
      </c>
      <c r="F1004" s="2" t="s">
        <v>13</v>
      </c>
      <c r="H1004" s="2">
        <v>2013</v>
      </c>
      <c r="I1004" s="2" t="s">
        <v>5779</v>
      </c>
      <c r="J1004" s="2" t="s">
        <v>15</v>
      </c>
      <c r="K1004" s="2" t="s">
        <v>5780</v>
      </c>
    </row>
    <row r="1005" spans="1:11" x14ac:dyDescent="0.25">
      <c r="A1005" s="2" t="s">
        <v>2822</v>
      </c>
      <c r="B1005" s="2" t="str">
        <f>"V2537194257001"</f>
        <v>V2537194257001</v>
      </c>
      <c r="C1005" s="2" t="s">
        <v>5781</v>
      </c>
      <c r="D1005" s="2" t="s">
        <v>1734</v>
      </c>
      <c r="E1005" s="2" t="s">
        <v>5680</v>
      </c>
      <c r="F1005" s="2" t="s">
        <v>13</v>
      </c>
      <c r="H1005" s="2">
        <v>2013</v>
      </c>
      <c r="I1005" s="2" t="s">
        <v>5782</v>
      </c>
      <c r="J1005" s="2" t="s">
        <v>15</v>
      </c>
      <c r="K1005" s="2" t="s">
        <v>5783</v>
      </c>
    </row>
    <row r="1006" spans="1:11" x14ac:dyDescent="0.25">
      <c r="A1006" s="2" t="s">
        <v>2822</v>
      </c>
      <c r="B1006" s="2" t="str">
        <f>"V2538364117001"</f>
        <v>V2538364117001</v>
      </c>
      <c r="C1006" s="2" t="s">
        <v>5784</v>
      </c>
      <c r="D1006" s="2" t="s">
        <v>1777</v>
      </c>
      <c r="E1006" s="2" t="s">
        <v>5680</v>
      </c>
      <c r="F1006" s="2" t="s">
        <v>13</v>
      </c>
      <c r="H1006" s="2">
        <v>2013</v>
      </c>
      <c r="I1006" s="2" t="s">
        <v>5785</v>
      </c>
      <c r="J1006" s="2" t="s">
        <v>15</v>
      </c>
      <c r="K1006" s="2" t="s">
        <v>5786</v>
      </c>
    </row>
    <row r="1007" spans="1:11" x14ac:dyDescent="0.25">
      <c r="A1007" s="2" t="s">
        <v>2822</v>
      </c>
      <c r="B1007" s="2" t="str">
        <f>"V2538386742001"</f>
        <v>V2538386742001</v>
      </c>
      <c r="C1007" s="2" t="s">
        <v>5787</v>
      </c>
      <c r="D1007" s="2" t="s">
        <v>1777</v>
      </c>
      <c r="E1007" s="2" t="s">
        <v>5680</v>
      </c>
      <c r="F1007" s="2" t="s">
        <v>13</v>
      </c>
      <c r="H1007" s="2">
        <v>2013</v>
      </c>
      <c r="I1007" s="2" t="s">
        <v>5788</v>
      </c>
      <c r="J1007" s="2" t="s">
        <v>15</v>
      </c>
      <c r="K1007" s="2" t="s">
        <v>5789</v>
      </c>
    </row>
    <row r="1008" spans="1:11" x14ac:dyDescent="0.25">
      <c r="A1008" s="2" t="s">
        <v>2822</v>
      </c>
      <c r="B1008" s="2" t="str">
        <f>"V2537194258001"</f>
        <v>V2537194258001</v>
      </c>
      <c r="C1008" s="2" t="s">
        <v>5790</v>
      </c>
      <c r="D1008" s="2" t="s">
        <v>1734</v>
      </c>
      <c r="E1008" s="2" t="s">
        <v>5680</v>
      </c>
      <c r="F1008" s="2" t="s">
        <v>13</v>
      </c>
      <c r="H1008" s="2">
        <v>2013</v>
      </c>
      <c r="I1008" s="2" t="s">
        <v>5791</v>
      </c>
      <c r="J1008" s="2" t="s">
        <v>15</v>
      </c>
      <c r="K1008" s="2" t="s">
        <v>5792</v>
      </c>
    </row>
    <row r="1009" spans="1:11" x14ac:dyDescent="0.25">
      <c r="A1009" s="2" t="s">
        <v>2822</v>
      </c>
      <c r="B1009" s="2" t="str">
        <f>"V2538386743001"</f>
        <v>V2538386743001</v>
      </c>
      <c r="C1009" s="2" t="s">
        <v>5793</v>
      </c>
      <c r="D1009" s="2" t="s">
        <v>1777</v>
      </c>
      <c r="E1009" s="2" t="s">
        <v>5680</v>
      </c>
      <c r="F1009" s="2" t="s">
        <v>13</v>
      </c>
      <c r="H1009" s="2">
        <v>2013</v>
      </c>
      <c r="I1009" s="2" t="s">
        <v>5794</v>
      </c>
      <c r="J1009" s="2" t="s">
        <v>15</v>
      </c>
      <c r="K1009" s="2" t="s">
        <v>5795</v>
      </c>
    </row>
    <row r="1010" spans="1:11" x14ac:dyDescent="0.25">
      <c r="A1010" s="2" t="s">
        <v>2822</v>
      </c>
      <c r="B1010" s="2" t="str">
        <f>"V2537194259001"</f>
        <v>V2537194259001</v>
      </c>
      <c r="C1010" s="2" t="s">
        <v>5796</v>
      </c>
      <c r="D1010" s="2" t="s">
        <v>1734</v>
      </c>
      <c r="E1010" s="2" t="s">
        <v>5680</v>
      </c>
      <c r="F1010" s="2" t="s">
        <v>13</v>
      </c>
      <c r="H1010" s="2">
        <v>2013</v>
      </c>
      <c r="I1010" s="2" t="s">
        <v>5797</v>
      </c>
      <c r="J1010" s="2" t="s">
        <v>15</v>
      </c>
      <c r="K1010" s="2" t="s">
        <v>5798</v>
      </c>
    </row>
    <row r="1011" spans="1:11" x14ac:dyDescent="0.25">
      <c r="A1011" s="2" t="s">
        <v>2822</v>
      </c>
      <c r="B1011" s="2" t="str">
        <f>"V2537194260001"</f>
        <v>V2537194260001</v>
      </c>
      <c r="C1011" s="2" t="s">
        <v>5799</v>
      </c>
      <c r="D1011" s="2" t="s">
        <v>1734</v>
      </c>
      <c r="E1011" s="2" t="s">
        <v>5680</v>
      </c>
      <c r="F1011" s="2" t="s">
        <v>13</v>
      </c>
      <c r="H1011" s="2">
        <v>2013</v>
      </c>
      <c r="I1011" s="2" t="s">
        <v>5800</v>
      </c>
      <c r="J1011" s="2" t="s">
        <v>15</v>
      </c>
      <c r="K1011" s="2" t="s">
        <v>5801</v>
      </c>
    </row>
    <row r="1012" spans="1:11" x14ac:dyDescent="0.25">
      <c r="A1012" s="2" t="s">
        <v>2822</v>
      </c>
      <c r="B1012" s="2" t="str">
        <f>"V2538386744001"</f>
        <v>V2538386744001</v>
      </c>
      <c r="C1012" s="2" t="s">
        <v>5802</v>
      </c>
      <c r="D1012" s="2" t="s">
        <v>1777</v>
      </c>
      <c r="E1012" s="2" t="s">
        <v>5680</v>
      </c>
      <c r="F1012" s="2" t="s">
        <v>13</v>
      </c>
      <c r="H1012" s="2">
        <v>2013</v>
      </c>
      <c r="I1012" s="2" t="s">
        <v>5803</v>
      </c>
      <c r="J1012" s="2" t="s">
        <v>15</v>
      </c>
      <c r="K1012" s="2" t="s">
        <v>5804</v>
      </c>
    </row>
    <row r="1013" spans="1:11" x14ac:dyDescent="0.25">
      <c r="A1013" s="2" t="s">
        <v>2822</v>
      </c>
      <c r="B1013" s="2" t="str">
        <f>"V2538386745001"</f>
        <v>V2538386745001</v>
      </c>
      <c r="C1013" s="2" t="s">
        <v>5805</v>
      </c>
      <c r="D1013" s="2" t="s">
        <v>1777</v>
      </c>
      <c r="E1013" s="2" t="s">
        <v>5680</v>
      </c>
      <c r="F1013" s="2" t="s">
        <v>13</v>
      </c>
      <c r="H1013" s="2">
        <v>2013</v>
      </c>
      <c r="I1013" s="2" t="s">
        <v>5806</v>
      </c>
      <c r="J1013" s="2" t="s">
        <v>15</v>
      </c>
      <c r="K1013" s="2" t="s">
        <v>5807</v>
      </c>
    </row>
    <row r="1014" spans="1:11" x14ac:dyDescent="0.25">
      <c r="A1014" s="2" t="s">
        <v>2822</v>
      </c>
      <c r="B1014" s="2" t="str">
        <f>"V2537194261001"</f>
        <v>V2537194261001</v>
      </c>
      <c r="C1014" s="2" t="s">
        <v>5808</v>
      </c>
      <c r="D1014" s="2" t="s">
        <v>1734</v>
      </c>
      <c r="E1014" s="2" t="s">
        <v>5680</v>
      </c>
      <c r="F1014" s="2" t="s">
        <v>13</v>
      </c>
      <c r="H1014" s="2">
        <v>2013</v>
      </c>
      <c r="I1014" s="2" t="s">
        <v>5809</v>
      </c>
      <c r="J1014" s="2" t="s">
        <v>15</v>
      </c>
      <c r="K1014" s="2" t="s">
        <v>5810</v>
      </c>
    </row>
    <row r="1015" spans="1:11" x14ac:dyDescent="0.25">
      <c r="A1015" s="2" t="s">
        <v>2822</v>
      </c>
      <c r="B1015" s="2" t="str">
        <f>"V2538386746001"</f>
        <v>V2538386746001</v>
      </c>
      <c r="C1015" s="2" t="s">
        <v>5811</v>
      </c>
      <c r="D1015" s="2" t="s">
        <v>1777</v>
      </c>
      <c r="E1015" s="2" t="s">
        <v>5680</v>
      </c>
      <c r="F1015" s="2" t="s">
        <v>13</v>
      </c>
      <c r="H1015" s="2">
        <v>2013</v>
      </c>
      <c r="I1015" s="2" t="s">
        <v>5812</v>
      </c>
      <c r="J1015" s="2" t="s">
        <v>15</v>
      </c>
      <c r="K1015" s="2" t="s">
        <v>5813</v>
      </c>
    </row>
    <row r="1016" spans="1:11" x14ac:dyDescent="0.25">
      <c r="A1016" s="2" t="s">
        <v>2822</v>
      </c>
      <c r="B1016" s="2" t="str">
        <f>"V2537194262001"</f>
        <v>V2537194262001</v>
      </c>
      <c r="C1016" s="2" t="s">
        <v>5814</v>
      </c>
      <c r="D1016" s="2" t="s">
        <v>1734</v>
      </c>
      <c r="E1016" s="2" t="s">
        <v>5680</v>
      </c>
      <c r="F1016" s="2" t="s">
        <v>13</v>
      </c>
      <c r="H1016" s="2">
        <v>2013</v>
      </c>
      <c r="I1016" s="2" t="s">
        <v>5815</v>
      </c>
      <c r="J1016" s="2" t="s">
        <v>15</v>
      </c>
      <c r="K1016" s="2" t="s">
        <v>5816</v>
      </c>
    </row>
    <row r="1017" spans="1:11" x14ac:dyDescent="0.25">
      <c r="A1017" s="2" t="s">
        <v>2822</v>
      </c>
      <c r="B1017" s="2" t="str">
        <f>"V2538386747001"</f>
        <v>V2538386747001</v>
      </c>
      <c r="C1017" s="2" t="s">
        <v>5817</v>
      </c>
      <c r="D1017" s="2" t="s">
        <v>1777</v>
      </c>
      <c r="E1017" s="2" t="s">
        <v>5680</v>
      </c>
      <c r="F1017" s="2" t="s">
        <v>13</v>
      </c>
      <c r="H1017" s="2">
        <v>2013</v>
      </c>
      <c r="I1017" s="2" t="s">
        <v>5818</v>
      </c>
      <c r="J1017" s="2" t="s">
        <v>15</v>
      </c>
      <c r="K1017" s="2" t="s">
        <v>5819</v>
      </c>
    </row>
    <row r="1018" spans="1:11" x14ac:dyDescent="0.25">
      <c r="A1018" s="2" t="s">
        <v>2822</v>
      </c>
      <c r="B1018" s="2" t="str">
        <f>"V1873289115001"</f>
        <v>V1873289115001</v>
      </c>
      <c r="C1018" s="2" t="s">
        <v>5820</v>
      </c>
      <c r="D1018" s="2" t="s">
        <v>475</v>
      </c>
      <c r="E1018" s="2" t="s">
        <v>2903</v>
      </c>
      <c r="F1018" s="2" t="s">
        <v>13</v>
      </c>
      <c r="H1018" s="2">
        <v>2012</v>
      </c>
      <c r="I1018" s="2" t="s">
        <v>5821</v>
      </c>
      <c r="J1018" s="2" t="s">
        <v>15</v>
      </c>
      <c r="K1018" s="2" t="s">
        <v>5822</v>
      </c>
    </row>
    <row r="1019" spans="1:11" x14ac:dyDescent="0.25">
      <c r="A1019" s="2" t="s">
        <v>2822</v>
      </c>
      <c r="B1019" s="2" t="str">
        <f>"V4124557777001"</f>
        <v>V4124557777001</v>
      </c>
      <c r="C1019" s="2" t="s">
        <v>5823</v>
      </c>
      <c r="D1019" s="2" t="s">
        <v>1469</v>
      </c>
      <c r="E1019" s="2" t="s">
        <v>5824</v>
      </c>
      <c r="F1019" s="2" t="s">
        <v>13</v>
      </c>
      <c r="H1019" s="2">
        <v>2013</v>
      </c>
      <c r="I1019" s="2" t="s">
        <v>5825</v>
      </c>
      <c r="J1019" s="2" t="s">
        <v>15</v>
      </c>
      <c r="K1019" s="2" t="s">
        <v>5826</v>
      </c>
    </row>
    <row r="1020" spans="1:11" x14ac:dyDescent="0.25">
      <c r="A1020" s="2" t="s">
        <v>2822</v>
      </c>
      <c r="B1020" s="2" t="str">
        <f>"V4124557778001"</f>
        <v>V4124557778001</v>
      </c>
      <c r="C1020" s="2" t="s">
        <v>5827</v>
      </c>
      <c r="D1020" s="2" t="s">
        <v>1469</v>
      </c>
      <c r="E1020" s="2" t="s">
        <v>5824</v>
      </c>
      <c r="F1020" s="2" t="s">
        <v>13</v>
      </c>
      <c r="H1020" s="2">
        <v>2013</v>
      </c>
      <c r="I1020" s="2" t="s">
        <v>5828</v>
      </c>
      <c r="J1020" s="2" t="s">
        <v>15</v>
      </c>
      <c r="K1020" s="2" t="s">
        <v>5829</v>
      </c>
    </row>
    <row r="1021" spans="1:11" x14ac:dyDescent="0.25">
      <c r="A1021" s="2" t="s">
        <v>2822</v>
      </c>
      <c r="B1021" s="2" t="str">
        <f>"V4124557779001"</f>
        <v>V4124557779001</v>
      </c>
      <c r="C1021" s="2" t="s">
        <v>5830</v>
      </c>
      <c r="D1021" s="2" t="s">
        <v>1469</v>
      </c>
      <c r="E1021" s="2" t="s">
        <v>5824</v>
      </c>
      <c r="F1021" s="2" t="s">
        <v>13</v>
      </c>
      <c r="H1021" s="2">
        <v>2013</v>
      </c>
      <c r="I1021" s="2" t="s">
        <v>5831</v>
      </c>
      <c r="J1021" s="2" t="s">
        <v>15</v>
      </c>
      <c r="K1021" s="2" t="s">
        <v>5832</v>
      </c>
    </row>
    <row r="1022" spans="1:11" x14ac:dyDescent="0.25">
      <c r="A1022" s="2" t="s">
        <v>2822</v>
      </c>
      <c r="B1022" s="2" t="str">
        <f>"V4124557774001"</f>
        <v>V4124557774001</v>
      </c>
      <c r="C1022" s="2" t="s">
        <v>5833</v>
      </c>
      <c r="D1022" s="2" t="s">
        <v>1469</v>
      </c>
      <c r="E1022" s="2" t="s">
        <v>5824</v>
      </c>
      <c r="F1022" s="2" t="s">
        <v>13</v>
      </c>
      <c r="H1022" s="2">
        <v>2013</v>
      </c>
      <c r="I1022" s="2" t="s">
        <v>5834</v>
      </c>
      <c r="J1022" s="2" t="s">
        <v>15</v>
      </c>
      <c r="K1022" s="2" t="s">
        <v>5835</v>
      </c>
    </row>
    <row r="1023" spans="1:11" x14ac:dyDescent="0.25">
      <c r="A1023" s="2" t="s">
        <v>2822</v>
      </c>
      <c r="B1023" s="2" t="str">
        <f>"V4124557775001"</f>
        <v>V4124557775001</v>
      </c>
      <c r="C1023" s="2" t="s">
        <v>5836</v>
      </c>
      <c r="D1023" s="2" t="s">
        <v>1469</v>
      </c>
      <c r="E1023" s="2" t="s">
        <v>5824</v>
      </c>
      <c r="F1023" s="2" t="s">
        <v>13</v>
      </c>
      <c r="H1023" s="2">
        <v>2013</v>
      </c>
      <c r="I1023" s="2" t="s">
        <v>5837</v>
      </c>
      <c r="J1023" s="2" t="s">
        <v>15</v>
      </c>
      <c r="K1023" s="2" t="s">
        <v>5838</v>
      </c>
    </row>
    <row r="1024" spans="1:11" x14ac:dyDescent="0.25">
      <c r="A1024" s="2" t="s">
        <v>2822</v>
      </c>
      <c r="B1024" s="2" t="str">
        <f>"V4124557776001"</f>
        <v>V4124557776001</v>
      </c>
      <c r="C1024" s="2" t="s">
        <v>5839</v>
      </c>
      <c r="D1024" s="2" t="s">
        <v>1469</v>
      </c>
      <c r="E1024" s="2" t="s">
        <v>5824</v>
      </c>
      <c r="F1024" s="2" t="s">
        <v>13</v>
      </c>
      <c r="H1024" s="2">
        <v>2013</v>
      </c>
      <c r="I1024" s="2" t="s">
        <v>5840</v>
      </c>
      <c r="J1024" s="2" t="s">
        <v>15</v>
      </c>
      <c r="K1024" s="2" t="s">
        <v>5841</v>
      </c>
    </row>
    <row r="1025" spans="1:11" x14ac:dyDescent="0.25">
      <c r="A1025" s="2" t="s">
        <v>2822</v>
      </c>
      <c r="B1025" s="2" t="str">
        <f>"V4124557772001"</f>
        <v>V4124557772001</v>
      </c>
      <c r="C1025" s="2" t="s">
        <v>5842</v>
      </c>
      <c r="D1025" s="2" t="s">
        <v>1469</v>
      </c>
      <c r="E1025" s="2" t="s">
        <v>5824</v>
      </c>
      <c r="F1025" s="2" t="s">
        <v>13</v>
      </c>
      <c r="H1025" s="2">
        <v>2014</v>
      </c>
      <c r="I1025" s="2" t="s">
        <v>5843</v>
      </c>
      <c r="J1025" s="2" t="s">
        <v>15</v>
      </c>
      <c r="K1025" s="2" t="s">
        <v>5844</v>
      </c>
    </row>
    <row r="1026" spans="1:11" x14ac:dyDescent="0.25">
      <c r="A1026" s="2" t="s">
        <v>2822</v>
      </c>
      <c r="B1026" s="2" t="str">
        <f>"V4124557771001"</f>
        <v>V4124557771001</v>
      </c>
      <c r="C1026" s="2" t="s">
        <v>5845</v>
      </c>
      <c r="D1026" s="2" t="s">
        <v>1469</v>
      </c>
      <c r="E1026" s="2" t="s">
        <v>5824</v>
      </c>
      <c r="F1026" s="2" t="s">
        <v>13</v>
      </c>
      <c r="H1026" s="2">
        <v>2013</v>
      </c>
      <c r="I1026" s="2" t="s">
        <v>5846</v>
      </c>
      <c r="J1026" s="2" t="s">
        <v>15</v>
      </c>
      <c r="K1026" s="2" t="s">
        <v>5847</v>
      </c>
    </row>
    <row r="1027" spans="1:11" x14ac:dyDescent="0.25">
      <c r="A1027" s="2" t="s">
        <v>2822</v>
      </c>
      <c r="B1027" s="2" t="str">
        <f>"V4124557773001"</f>
        <v>V4124557773001</v>
      </c>
      <c r="C1027" s="2" t="s">
        <v>5848</v>
      </c>
      <c r="D1027" s="2" t="s">
        <v>1469</v>
      </c>
      <c r="E1027" s="2" t="s">
        <v>5824</v>
      </c>
      <c r="F1027" s="2" t="s">
        <v>13</v>
      </c>
      <c r="H1027" s="2">
        <v>2014</v>
      </c>
      <c r="I1027" s="2" t="s">
        <v>5849</v>
      </c>
      <c r="J1027" s="2" t="s">
        <v>15</v>
      </c>
      <c r="K1027" s="2" t="s">
        <v>5850</v>
      </c>
    </row>
    <row r="1028" spans="1:11" x14ac:dyDescent="0.25">
      <c r="A1028" s="2" t="s">
        <v>2822</v>
      </c>
      <c r="B1028" s="2" t="str">
        <f>"V4768134744001"</f>
        <v>V4768134744001</v>
      </c>
      <c r="C1028" s="2" t="s">
        <v>5851</v>
      </c>
      <c r="D1028" s="2" t="s">
        <v>2172</v>
      </c>
      <c r="E1028" s="2" t="s">
        <v>2824</v>
      </c>
      <c r="F1028" s="2" t="s">
        <v>13</v>
      </c>
      <c r="H1028" s="2">
        <v>2016</v>
      </c>
      <c r="I1028" s="2" t="s">
        <v>2825</v>
      </c>
      <c r="J1028" s="2" t="s">
        <v>15</v>
      </c>
      <c r="K1028" s="2" t="s">
        <v>5852</v>
      </c>
    </row>
    <row r="1029" spans="1:11" x14ac:dyDescent="0.25">
      <c r="A1029" s="2" t="s">
        <v>2822</v>
      </c>
      <c r="B1029" s="2" t="str">
        <f>"V3615833506001"</f>
        <v>V3615833506001</v>
      </c>
      <c r="C1029" s="2" t="s">
        <v>5853</v>
      </c>
      <c r="D1029" s="2" t="s">
        <v>3111</v>
      </c>
      <c r="E1029" s="2" t="s">
        <v>3112</v>
      </c>
      <c r="F1029" s="2" t="s">
        <v>13</v>
      </c>
      <c r="H1029" s="2">
        <v>2014</v>
      </c>
      <c r="I1029" s="2" t="s">
        <v>5854</v>
      </c>
      <c r="J1029" s="2" t="s">
        <v>15</v>
      </c>
      <c r="K1029" s="2" t="s">
        <v>5855</v>
      </c>
    </row>
    <row r="1030" spans="1:11" x14ac:dyDescent="0.25">
      <c r="A1030" s="2" t="s">
        <v>2822</v>
      </c>
      <c r="B1030" s="2" t="str">
        <f>"V4768134745001"</f>
        <v>V4768134745001</v>
      </c>
      <c r="C1030" s="2" t="s">
        <v>5856</v>
      </c>
      <c r="D1030" s="2" t="s">
        <v>2172</v>
      </c>
      <c r="E1030" s="2" t="s">
        <v>2824</v>
      </c>
      <c r="F1030" s="2" t="s">
        <v>13</v>
      </c>
      <c r="H1030" s="2">
        <v>2016</v>
      </c>
      <c r="I1030" s="2" t="s">
        <v>2825</v>
      </c>
      <c r="J1030" s="2" t="s">
        <v>15</v>
      </c>
      <c r="K1030" s="2" t="s">
        <v>5857</v>
      </c>
    </row>
    <row r="1031" spans="1:11" x14ac:dyDescent="0.25">
      <c r="A1031" s="2" t="s">
        <v>2822</v>
      </c>
      <c r="B1031" s="2" t="str">
        <f>"V3615833520001"</f>
        <v>V3615833520001</v>
      </c>
      <c r="C1031" s="2" t="s">
        <v>5858</v>
      </c>
      <c r="D1031" s="2" t="s">
        <v>3111</v>
      </c>
      <c r="E1031" s="2" t="s">
        <v>3112</v>
      </c>
      <c r="F1031" s="2" t="s">
        <v>13</v>
      </c>
      <c r="H1031" s="2">
        <v>2014</v>
      </c>
      <c r="I1031" s="2" t="s">
        <v>5859</v>
      </c>
      <c r="J1031" s="2" t="s">
        <v>15</v>
      </c>
      <c r="K1031" s="2" t="s">
        <v>5860</v>
      </c>
    </row>
    <row r="1032" spans="1:11" x14ac:dyDescent="0.25">
      <c r="A1032" s="2" t="s">
        <v>2822</v>
      </c>
      <c r="B1032" s="2" t="str">
        <f>"V2433952474001"</f>
        <v>V2433952474001</v>
      </c>
      <c r="C1032" s="2" t="s">
        <v>5861</v>
      </c>
      <c r="D1032" s="2" t="s">
        <v>2910</v>
      </c>
      <c r="E1032" s="2" t="s">
        <v>2911</v>
      </c>
      <c r="F1032" s="2" t="s">
        <v>13</v>
      </c>
      <c r="H1032" s="2">
        <v>2013</v>
      </c>
      <c r="I1032" s="2" t="s">
        <v>5862</v>
      </c>
      <c r="J1032" s="2" t="s">
        <v>15</v>
      </c>
      <c r="K1032" s="2" t="s">
        <v>5863</v>
      </c>
    </row>
    <row r="1033" spans="1:11" x14ac:dyDescent="0.25">
      <c r="A1033" s="2" t="s">
        <v>2822</v>
      </c>
      <c r="B1033" s="2" t="str">
        <f>"V2758874984001"</f>
        <v>V2758874984001</v>
      </c>
      <c r="C1033" s="2" t="s">
        <v>5864</v>
      </c>
      <c r="D1033" s="2" t="s">
        <v>1681</v>
      </c>
      <c r="E1033" s="2" t="s">
        <v>5865</v>
      </c>
      <c r="F1033" s="2" t="s">
        <v>13</v>
      </c>
      <c r="H1033" s="2">
        <v>2013</v>
      </c>
      <c r="I1033" s="2" t="s">
        <v>5866</v>
      </c>
      <c r="J1033" s="2" t="s">
        <v>15</v>
      </c>
      <c r="K1033" s="2" t="s">
        <v>5867</v>
      </c>
    </row>
    <row r="1034" spans="1:11" x14ac:dyDescent="0.25">
      <c r="A1034" s="2" t="s">
        <v>2822</v>
      </c>
      <c r="B1034" s="2" t="str">
        <f>"V2758874988001"</f>
        <v>V2758874988001</v>
      </c>
      <c r="C1034" s="2" t="s">
        <v>5868</v>
      </c>
      <c r="D1034" s="2" t="s">
        <v>1681</v>
      </c>
      <c r="E1034" s="2" t="s">
        <v>5865</v>
      </c>
      <c r="F1034" s="2" t="s">
        <v>13</v>
      </c>
      <c r="H1034" s="2">
        <v>2013</v>
      </c>
      <c r="I1034" s="2" t="s">
        <v>5869</v>
      </c>
      <c r="J1034" s="2" t="s">
        <v>15</v>
      </c>
      <c r="K1034" s="2" t="s">
        <v>5870</v>
      </c>
    </row>
    <row r="1035" spans="1:11" x14ac:dyDescent="0.25">
      <c r="A1035" s="2" t="s">
        <v>2822</v>
      </c>
      <c r="B1035" s="2" t="str">
        <f>"V2758874985001"</f>
        <v>V2758874985001</v>
      </c>
      <c r="C1035" s="2" t="s">
        <v>5871</v>
      </c>
      <c r="D1035" s="2" t="s">
        <v>1681</v>
      </c>
      <c r="E1035" s="2" t="s">
        <v>5865</v>
      </c>
      <c r="F1035" s="2" t="s">
        <v>13</v>
      </c>
      <c r="H1035" s="2">
        <v>2013</v>
      </c>
      <c r="I1035" s="2" t="s">
        <v>5872</v>
      </c>
      <c r="J1035" s="2" t="s">
        <v>15</v>
      </c>
      <c r="K1035" s="2" t="s">
        <v>5873</v>
      </c>
    </row>
    <row r="1036" spans="1:11" x14ac:dyDescent="0.25">
      <c r="A1036" s="2" t="s">
        <v>2822</v>
      </c>
      <c r="B1036" s="2" t="str">
        <f>"V2758874986001"</f>
        <v>V2758874986001</v>
      </c>
      <c r="C1036" s="2" t="s">
        <v>5874</v>
      </c>
      <c r="D1036" s="2" t="s">
        <v>1681</v>
      </c>
      <c r="E1036" s="2" t="s">
        <v>5865</v>
      </c>
      <c r="F1036" s="2" t="s">
        <v>13</v>
      </c>
      <c r="H1036" s="2">
        <v>2013</v>
      </c>
      <c r="I1036" s="2" t="s">
        <v>5875</v>
      </c>
      <c r="J1036" s="2" t="s">
        <v>15</v>
      </c>
      <c r="K1036" s="2" t="s">
        <v>5876</v>
      </c>
    </row>
    <row r="1037" spans="1:11" x14ac:dyDescent="0.25">
      <c r="A1037" s="2" t="s">
        <v>2822</v>
      </c>
      <c r="B1037" s="2" t="str">
        <f>"V2758874977001"</f>
        <v>V2758874977001</v>
      </c>
      <c r="C1037" s="2" t="s">
        <v>5877</v>
      </c>
      <c r="D1037" s="2" t="s">
        <v>1681</v>
      </c>
      <c r="E1037" s="2" t="s">
        <v>5865</v>
      </c>
      <c r="F1037" s="2" t="s">
        <v>13</v>
      </c>
      <c r="H1037" s="2">
        <v>2013</v>
      </c>
      <c r="I1037" s="2" t="s">
        <v>5878</v>
      </c>
      <c r="J1037" s="2" t="s">
        <v>15</v>
      </c>
      <c r="K1037" s="2" t="s">
        <v>5879</v>
      </c>
    </row>
    <row r="1038" spans="1:11" x14ac:dyDescent="0.25">
      <c r="A1038" s="2" t="s">
        <v>2822</v>
      </c>
      <c r="B1038" s="2" t="str">
        <f>"V2758874978001"</f>
        <v>V2758874978001</v>
      </c>
      <c r="C1038" s="2" t="s">
        <v>5880</v>
      </c>
      <c r="D1038" s="2" t="s">
        <v>1681</v>
      </c>
      <c r="E1038" s="2" t="s">
        <v>5865</v>
      </c>
      <c r="F1038" s="2" t="s">
        <v>13</v>
      </c>
      <c r="H1038" s="2">
        <v>2013</v>
      </c>
      <c r="I1038" s="2" t="s">
        <v>5881</v>
      </c>
      <c r="J1038" s="2" t="s">
        <v>15</v>
      </c>
      <c r="K1038" s="2" t="s">
        <v>5882</v>
      </c>
    </row>
    <row r="1039" spans="1:11" x14ac:dyDescent="0.25">
      <c r="A1039" s="2" t="s">
        <v>2822</v>
      </c>
      <c r="B1039" s="2" t="str">
        <f>"V2758874979001"</f>
        <v>V2758874979001</v>
      </c>
      <c r="C1039" s="2" t="s">
        <v>5883</v>
      </c>
      <c r="D1039" s="2" t="s">
        <v>1681</v>
      </c>
      <c r="E1039" s="2" t="s">
        <v>5865</v>
      </c>
      <c r="F1039" s="2" t="s">
        <v>13</v>
      </c>
      <c r="H1039" s="2">
        <v>2013</v>
      </c>
      <c r="I1039" s="2" t="s">
        <v>5884</v>
      </c>
      <c r="J1039" s="2" t="s">
        <v>15</v>
      </c>
      <c r="K1039" s="2" t="s">
        <v>5885</v>
      </c>
    </row>
    <row r="1040" spans="1:11" x14ac:dyDescent="0.25">
      <c r="A1040" s="2" t="s">
        <v>2822</v>
      </c>
      <c r="B1040" s="2" t="str">
        <f>"V2758874980001"</f>
        <v>V2758874980001</v>
      </c>
      <c r="C1040" s="2" t="s">
        <v>5886</v>
      </c>
      <c r="D1040" s="2" t="s">
        <v>1681</v>
      </c>
      <c r="E1040" s="2" t="s">
        <v>5865</v>
      </c>
      <c r="F1040" s="2" t="s">
        <v>13</v>
      </c>
      <c r="H1040" s="2">
        <v>2013</v>
      </c>
      <c r="I1040" s="2" t="s">
        <v>5884</v>
      </c>
      <c r="J1040" s="2" t="s">
        <v>15</v>
      </c>
      <c r="K1040" s="2" t="s">
        <v>5887</v>
      </c>
    </row>
    <row r="1041" spans="1:11" x14ac:dyDescent="0.25">
      <c r="A1041" s="2" t="s">
        <v>2822</v>
      </c>
      <c r="B1041" s="2" t="str">
        <f>"V2758874981001"</f>
        <v>V2758874981001</v>
      </c>
      <c r="C1041" s="2" t="s">
        <v>5888</v>
      </c>
      <c r="D1041" s="2" t="s">
        <v>1681</v>
      </c>
      <c r="E1041" s="2" t="s">
        <v>5865</v>
      </c>
      <c r="F1041" s="2" t="s">
        <v>13</v>
      </c>
      <c r="H1041" s="2">
        <v>2013</v>
      </c>
      <c r="I1041" s="2" t="s">
        <v>5889</v>
      </c>
      <c r="J1041" s="2" t="s">
        <v>15</v>
      </c>
      <c r="K1041" s="2" t="s">
        <v>5890</v>
      </c>
    </row>
    <row r="1042" spans="1:11" x14ac:dyDescent="0.25">
      <c r="A1042" s="2" t="s">
        <v>2822</v>
      </c>
      <c r="B1042" s="2" t="str">
        <f>"V2758874983001"</f>
        <v>V2758874983001</v>
      </c>
      <c r="C1042" s="2" t="s">
        <v>5891</v>
      </c>
      <c r="D1042" s="2" t="s">
        <v>1681</v>
      </c>
      <c r="E1042" s="2" t="s">
        <v>5865</v>
      </c>
      <c r="F1042" s="2" t="s">
        <v>13</v>
      </c>
      <c r="H1042" s="2">
        <v>2013</v>
      </c>
      <c r="I1042" s="2" t="s">
        <v>5892</v>
      </c>
      <c r="J1042" s="2" t="s">
        <v>15</v>
      </c>
      <c r="K1042" s="2" t="s">
        <v>5893</v>
      </c>
    </row>
    <row r="1043" spans="1:11" x14ac:dyDescent="0.25">
      <c r="A1043" s="2" t="s">
        <v>2822</v>
      </c>
      <c r="B1043" s="2" t="str">
        <f>"V2758874982001"</f>
        <v>V2758874982001</v>
      </c>
      <c r="C1043" s="2" t="s">
        <v>5894</v>
      </c>
      <c r="D1043" s="2" t="s">
        <v>1681</v>
      </c>
      <c r="E1043" s="2" t="s">
        <v>5865</v>
      </c>
      <c r="F1043" s="2" t="s">
        <v>13</v>
      </c>
      <c r="H1043" s="2">
        <v>2013</v>
      </c>
      <c r="I1043" s="2" t="s">
        <v>5895</v>
      </c>
      <c r="J1043" s="2" t="s">
        <v>15</v>
      </c>
      <c r="K1043" s="2" t="s">
        <v>5896</v>
      </c>
    </row>
    <row r="1044" spans="1:11" x14ac:dyDescent="0.25">
      <c r="A1044" s="2" t="s">
        <v>2822</v>
      </c>
      <c r="B1044" s="2" t="str">
        <f>"V2758874989001"</f>
        <v>V2758874989001</v>
      </c>
      <c r="C1044" s="2" t="s">
        <v>5897</v>
      </c>
      <c r="D1044" s="2" t="s">
        <v>1681</v>
      </c>
      <c r="E1044" s="2" t="s">
        <v>5865</v>
      </c>
      <c r="F1044" s="2" t="s">
        <v>13</v>
      </c>
      <c r="H1044" s="2">
        <v>2013</v>
      </c>
      <c r="I1044" s="2" t="s">
        <v>5898</v>
      </c>
      <c r="J1044" s="2" t="s">
        <v>15</v>
      </c>
      <c r="K1044" s="2" t="s">
        <v>5899</v>
      </c>
    </row>
    <row r="1045" spans="1:11" x14ac:dyDescent="0.25">
      <c r="A1045" s="2" t="s">
        <v>2822</v>
      </c>
      <c r="B1045" s="2" t="str">
        <f>"V2758874991001"</f>
        <v>V2758874991001</v>
      </c>
      <c r="C1045" s="2" t="s">
        <v>5900</v>
      </c>
      <c r="D1045" s="2" t="s">
        <v>1681</v>
      </c>
      <c r="E1045" s="2" t="s">
        <v>5865</v>
      </c>
      <c r="F1045" s="2" t="s">
        <v>13</v>
      </c>
      <c r="H1045" s="2">
        <v>2013</v>
      </c>
      <c r="I1045" s="2" t="s">
        <v>5901</v>
      </c>
      <c r="J1045" s="2" t="s">
        <v>15</v>
      </c>
      <c r="K1045" s="2" t="s">
        <v>5902</v>
      </c>
    </row>
    <row r="1046" spans="1:11" x14ac:dyDescent="0.25">
      <c r="A1046" s="2" t="s">
        <v>2822</v>
      </c>
      <c r="B1046" s="2" t="str">
        <f>"V2758874987001"</f>
        <v>V2758874987001</v>
      </c>
      <c r="C1046" s="2" t="s">
        <v>5903</v>
      </c>
      <c r="D1046" s="2" t="s">
        <v>1681</v>
      </c>
      <c r="E1046" s="2" t="s">
        <v>5865</v>
      </c>
      <c r="F1046" s="2" t="s">
        <v>13</v>
      </c>
      <c r="H1046" s="2">
        <v>2013</v>
      </c>
      <c r="I1046" s="2" t="s">
        <v>5904</v>
      </c>
      <c r="J1046" s="2" t="s">
        <v>15</v>
      </c>
      <c r="K1046" s="2" t="s">
        <v>5905</v>
      </c>
    </row>
    <row r="1047" spans="1:11" x14ac:dyDescent="0.25">
      <c r="A1047" s="2" t="s">
        <v>2822</v>
      </c>
      <c r="B1047" s="2" t="str">
        <f>"V2758874992001"</f>
        <v>V2758874992001</v>
      </c>
      <c r="C1047" s="2" t="s">
        <v>5906</v>
      </c>
      <c r="D1047" s="2" t="s">
        <v>1681</v>
      </c>
      <c r="E1047" s="2" t="s">
        <v>5865</v>
      </c>
      <c r="F1047" s="2" t="s">
        <v>13</v>
      </c>
      <c r="H1047" s="2">
        <v>2013</v>
      </c>
      <c r="I1047" s="2" t="s">
        <v>5907</v>
      </c>
      <c r="J1047" s="2" t="s">
        <v>15</v>
      </c>
      <c r="K1047" s="2" t="s">
        <v>5908</v>
      </c>
    </row>
    <row r="1048" spans="1:11" x14ac:dyDescent="0.25">
      <c r="A1048" s="2" t="s">
        <v>2822</v>
      </c>
      <c r="B1048" s="2" t="str">
        <f>"V2758874973001"</f>
        <v>V2758874973001</v>
      </c>
      <c r="C1048" s="2" t="s">
        <v>5909</v>
      </c>
      <c r="D1048" s="2" t="s">
        <v>1681</v>
      </c>
      <c r="E1048" s="2" t="s">
        <v>5865</v>
      </c>
      <c r="F1048" s="2" t="s">
        <v>13</v>
      </c>
      <c r="H1048" s="2">
        <v>2013</v>
      </c>
      <c r="I1048" s="2" t="s">
        <v>5910</v>
      </c>
      <c r="J1048" s="2" t="s">
        <v>15</v>
      </c>
      <c r="K1048" s="2" t="s">
        <v>5911</v>
      </c>
    </row>
    <row r="1049" spans="1:11" x14ac:dyDescent="0.25">
      <c r="A1049" s="2" t="s">
        <v>2822</v>
      </c>
      <c r="B1049" s="2" t="str">
        <f>"V2758874975001"</f>
        <v>V2758874975001</v>
      </c>
      <c r="C1049" s="2" t="s">
        <v>5912</v>
      </c>
      <c r="D1049" s="2" t="s">
        <v>1681</v>
      </c>
      <c r="E1049" s="2" t="s">
        <v>5865</v>
      </c>
      <c r="F1049" s="2" t="s">
        <v>13</v>
      </c>
      <c r="H1049" s="2">
        <v>2013</v>
      </c>
      <c r="I1049" s="2" t="s">
        <v>5913</v>
      </c>
      <c r="J1049" s="2" t="s">
        <v>15</v>
      </c>
      <c r="K1049" s="2" t="s">
        <v>5914</v>
      </c>
    </row>
    <row r="1050" spans="1:11" x14ac:dyDescent="0.25">
      <c r="A1050" s="2" t="s">
        <v>2822</v>
      </c>
      <c r="B1050" s="2" t="str">
        <f>"V2758874974001"</f>
        <v>V2758874974001</v>
      </c>
      <c r="C1050" s="2" t="s">
        <v>5915</v>
      </c>
      <c r="D1050" s="2" t="s">
        <v>1681</v>
      </c>
      <c r="E1050" s="2" t="s">
        <v>5865</v>
      </c>
      <c r="F1050" s="2" t="s">
        <v>13</v>
      </c>
      <c r="H1050" s="2">
        <v>2013</v>
      </c>
      <c r="I1050" s="2" t="s">
        <v>5916</v>
      </c>
      <c r="J1050" s="2" t="s">
        <v>15</v>
      </c>
      <c r="K1050" s="2" t="s">
        <v>5917</v>
      </c>
    </row>
    <row r="1051" spans="1:11" x14ac:dyDescent="0.25">
      <c r="A1051" s="2" t="s">
        <v>2822</v>
      </c>
      <c r="B1051" s="2" t="str">
        <f>"V2758874990001"</f>
        <v>V2758874990001</v>
      </c>
      <c r="C1051" s="2" t="s">
        <v>5918</v>
      </c>
      <c r="D1051" s="2" t="s">
        <v>1681</v>
      </c>
      <c r="E1051" s="2" t="s">
        <v>5865</v>
      </c>
      <c r="F1051" s="2" t="s">
        <v>13</v>
      </c>
      <c r="H1051" s="2">
        <v>2013</v>
      </c>
      <c r="I1051" s="2" t="s">
        <v>5919</v>
      </c>
      <c r="J1051" s="2" t="s">
        <v>15</v>
      </c>
      <c r="K1051" s="2" t="s">
        <v>5920</v>
      </c>
    </row>
    <row r="1052" spans="1:11" x14ac:dyDescent="0.25">
      <c r="A1052" s="2" t="s">
        <v>2822</v>
      </c>
      <c r="B1052" s="2" t="str">
        <f>"V2758874976001"</f>
        <v>V2758874976001</v>
      </c>
      <c r="C1052" s="2" t="s">
        <v>5921</v>
      </c>
      <c r="D1052" s="2" t="s">
        <v>1681</v>
      </c>
      <c r="E1052" s="2" t="s">
        <v>5865</v>
      </c>
      <c r="F1052" s="2" t="s">
        <v>13</v>
      </c>
      <c r="H1052" s="2">
        <v>2013</v>
      </c>
      <c r="I1052" s="2" t="s">
        <v>5922</v>
      </c>
      <c r="J1052" s="2" t="s">
        <v>15</v>
      </c>
      <c r="K1052" s="2" t="s">
        <v>5923</v>
      </c>
    </row>
    <row r="1053" spans="1:11" x14ac:dyDescent="0.25">
      <c r="A1053" s="2" t="s">
        <v>2822</v>
      </c>
      <c r="B1053" s="2" t="str">
        <f>"V1931838139001"</f>
        <v>V1931838139001</v>
      </c>
      <c r="C1053" s="2" t="s">
        <v>5924</v>
      </c>
      <c r="D1053" s="2" t="s">
        <v>1592</v>
      </c>
      <c r="E1053" s="2" t="s">
        <v>2903</v>
      </c>
      <c r="F1053" s="2" t="s">
        <v>13</v>
      </c>
      <c r="H1053" s="2">
        <v>2012</v>
      </c>
      <c r="I1053" s="2" t="s">
        <v>5925</v>
      </c>
      <c r="J1053" s="2" t="s">
        <v>15</v>
      </c>
      <c r="K1053" s="2" t="s">
        <v>5926</v>
      </c>
    </row>
    <row r="1054" spans="1:11" x14ac:dyDescent="0.25">
      <c r="A1054" s="2" t="s">
        <v>2822</v>
      </c>
      <c r="B1054" s="2" t="str">
        <f>"V1931838149001"</f>
        <v>V1931838149001</v>
      </c>
      <c r="C1054" s="2" t="s">
        <v>5927</v>
      </c>
      <c r="D1054" s="2" t="s">
        <v>1592</v>
      </c>
      <c r="E1054" s="2" t="s">
        <v>2903</v>
      </c>
      <c r="F1054" s="2" t="s">
        <v>13</v>
      </c>
      <c r="H1054" s="2">
        <v>2012</v>
      </c>
      <c r="I1054" s="2" t="s">
        <v>5928</v>
      </c>
      <c r="J1054" s="2" t="s">
        <v>15</v>
      </c>
      <c r="K1054" s="2" t="s">
        <v>5929</v>
      </c>
    </row>
    <row r="1055" spans="1:11" x14ac:dyDescent="0.25">
      <c r="A1055" s="2" t="s">
        <v>2822</v>
      </c>
      <c r="B1055" s="2" t="str">
        <f>"V1836246981001"</f>
        <v>V1836246981001</v>
      </c>
      <c r="C1055" s="2" t="s">
        <v>5930</v>
      </c>
      <c r="D1055" s="2" t="s">
        <v>3086</v>
      </c>
      <c r="E1055" s="2" t="s">
        <v>3087</v>
      </c>
      <c r="F1055" s="2" t="s">
        <v>13</v>
      </c>
      <c r="H1055" s="2">
        <v>2012</v>
      </c>
      <c r="I1055" s="2" t="s">
        <v>5931</v>
      </c>
      <c r="J1055" s="2" t="s">
        <v>15</v>
      </c>
      <c r="K1055" s="2" t="s">
        <v>5932</v>
      </c>
    </row>
    <row r="1056" spans="1:11" x14ac:dyDescent="0.25">
      <c r="A1056" s="2" t="s">
        <v>2822</v>
      </c>
      <c r="B1056" s="2" t="str">
        <f>"V4005352533001"</f>
        <v>V4005352533001</v>
      </c>
      <c r="C1056" s="2" t="s">
        <v>5933</v>
      </c>
      <c r="D1056" s="2" t="s">
        <v>1922</v>
      </c>
      <c r="E1056" s="2" t="s">
        <v>2824</v>
      </c>
      <c r="F1056" s="2" t="s">
        <v>13</v>
      </c>
      <c r="H1056" s="2">
        <v>2014</v>
      </c>
      <c r="I1056" s="2" t="s">
        <v>2828</v>
      </c>
      <c r="J1056" s="2" t="s">
        <v>15</v>
      </c>
      <c r="K1056" s="2" t="s">
        <v>5934</v>
      </c>
    </row>
    <row r="1057" spans="1:11" x14ac:dyDescent="0.25">
      <c r="A1057" s="2" t="s">
        <v>2822</v>
      </c>
      <c r="B1057" s="2" t="str">
        <f>"V4005352527001"</f>
        <v>V4005352527001</v>
      </c>
      <c r="C1057" s="2" t="s">
        <v>5935</v>
      </c>
      <c r="D1057" s="2" t="s">
        <v>1922</v>
      </c>
      <c r="E1057" s="2" t="s">
        <v>2824</v>
      </c>
      <c r="F1057" s="2" t="s">
        <v>13</v>
      </c>
      <c r="H1057" s="2">
        <v>2014</v>
      </c>
      <c r="I1057" s="2" t="s">
        <v>2828</v>
      </c>
      <c r="J1057" s="2" t="s">
        <v>15</v>
      </c>
      <c r="K1057" s="2" t="s">
        <v>5936</v>
      </c>
    </row>
    <row r="1058" spans="1:11" x14ac:dyDescent="0.25">
      <c r="A1058" s="2" t="s">
        <v>2822</v>
      </c>
      <c r="B1058" s="2" t="str">
        <f>"V1402374728001"</f>
        <v>V1402374728001</v>
      </c>
      <c r="C1058" s="2" t="s">
        <v>5937</v>
      </c>
      <c r="D1058" s="2" t="s">
        <v>2358</v>
      </c>
      <c r="E1058" s="2" t="s">
        <v>3232</v>
      </c>
      <c r="F1058" s="2" t="s">
        <v>13</v>
      </c>
      <c r="H1058" s="2">
        <v>2011</v>
      </c>
      <c r="I1058" s="2" t="s">
        <v>5938</v>
      </c>
      <c r="J1058" s="2" t="s">
        <v>15</v>
      </c>
      <c r="K1058" s="2" t="s">
        <v>5939</v>
      </c>
    </row>
    <row r="1059" spans="1:11" x14ac:dyDescent="0.25">
      <c r="A1059" s="2" t="s">
        <v>2822</v>
      </c>
      <c r="B1059" s="2" t="str">
        <f>"V1402374726001"</f>
        <v>V1402374726001</v>
      </c>
      <c r="C1059" s="2" t="s">
        <v>5940</v>
      </c>
      <c r="D1059" s="2" t="s">
        <v>2358</v>
      </c>
      <c r="E1059" s="2" t="s">
        <v>3232</v>
      </c>
      <c r="F1059" s="2" t="s">
        <v>13</v>
      </c>
      <c r="H1059" s="2">
        <v>2011</v>
      </c>
      <c r="I1059" s="2" t="s">
        <v>5941</v>
      </c>
      <c r="J1059" s="2" t="s">
        <v>15</v>
      </c>
      <c r="K1059" s="2" t="s">
        <v>5942</v>
      </c>
    </row>
    <row r="1060" spans="1:11" x14ac:dyDescent="0.25">
      <c r="A1060" s="2" t="s">
        <v>2822</v>
      </c>
      <c r="B1060" s="2" t="str">
        <f>"V1402345907001"</f>
        <v>V1402345907001</v>
      </c>
      <c r="C1060" s="2" t="s">
        <v>5943</v>
      </c>
      <c r="D1060" s="2" t="s">
        <v>2358</v>
      </c>
      <c r="E1060" s="2" t="s">
        <v>3232</v>
      </c>
      <c r="F1060" s="2" t="s">
        <v>13</v>
      </c>
      <c r="H1060" s="2">
        <v>2011</v>
      </c>
      <c r="I1060" s="2" t="s">
        <v>5944</v>
      </c>
      <c r="J1060" s="2" t="s">
        <v>15</v>
      </c>
      <c r="K1060" s="2" t="s">
        <v>5945</v>
      </c>
    </row>
    <row r="1061" spans="1:11" x14ac:dyDescent="0.25">
      <c r="A1061" s="2" t="s">
        <v>2822</v>
      </c>
      <c r="B1061" s="2" t="str">
        <f>"V1402374717001"</f>
        <v>V1402374717001</v>
      </c>
      <c r="C1061" s="2" t="s">
        <v>5946</v>
      </c>
      <c r="D1061" s="2" t="s">
        <v>2358</v>
      </c>
      <c r="E1061" s="2" t="s">
        <v>3232</v>
      </c>
      <c r="F1061" s="2" t="s">
        <v>13</v>
      </c>
      <c r="H1061" s="2">
        <v>2011</v>
      </c>
      <c r="I1061" s="2" t="s">
        <v>5947</v>
      </c>
      <c r="J1061" s="2" t="s">
        <v>15</v>
      </c>
      <c r="K1061" s="2" t="s">
        <v>5948</v>
      </c>
    </row>
    <row r="1062" spans="1:11" x14ac:dyDescent="0.25">
      <c r="A1062" s="2" t="s">
        <v>2822</v>
      </c>
      <c r="B1062" s="2" t="str">
        <f>"V1402345912001"</f>
        <v>V1402345912001</v>
      </c>
      <c r="C1062" s="2" t="s">
        <v>5949</v>
      </c>
      <c r="D1062" s="2" t="s">
        <v>2358</v>
      </c>
      <c r="E1062" s="2" t="s">
        <v>3087</v>
      </c>
      <c r="F1062" s="2" t="s">
        <v>13</v>
      </c>
      <c r="H1062" s="2">
        <v>2011</v>
      </c>
      <c r="I1062" s="2" t="s">
        <v>5950</v>
      </c>
      <c r="J1062" s="2" t="s">
        <v>15</v>
      </c>
      <c r="K1062" s="2" t="s">
        <v>5951</v>
      </c>
    </row>
    <row r="1063" spans="1:11" x14ac:dyDescent="0.25">
      <c r="A1063" s="2" t="s">
        <v>2822</v>
      </c>
      <c r="B1063" s="2" t="str">
        <f>"V1836243648001"</f>
        <v>V1836243648001</v>
      </c>
      <c r="C1063" s="2" t="s">
        <v>5952</v>
      </c>
      <c r="D1063" s="2" t="s">
        <v>3086</v>
      </c>
      <c r="E1063" s="2" t="s">
        <v>3232</v>
      </c>
      <c r="F1063" s="2" t="s">
        <v>13</v>
      </c>
      <c r="H1063" s="2">
        <v>2012</v>
      </c>
      <c r="I1063" s="2" t="s">
        <v>5953</v>
      </c>
      <c r="J1063" s="2" t="s">
        <v>15</v>
      </c>
      <c r="K1063" s="2" t="s">
        <v>5954</v>
      </c>
    </row>
    <row r="1064" spans="1:11" x14ac:dyDescent="0.25">
      <c r="A1064" s="2" t="s">
        <v>2822</v>
      </c>
      <c r="B1064" s="2" t="str">
        <f>"V1836243646001"</f>
        <v>V1836243646001</v>
      </c>
      <c r="C1064" s="2" t="s">
        <v>5955</v>
      </c>
      <c r="D1064" s="2" t="s">
        <v>3086</v>
      </c>
      <c r="E1064" s="2" t="s">
        <v>3232</v>
      </c>
      <c r="F1064" s="2" t="s">
        <v>13</v>
      </c>
      <c r="H1064" s="2">
        <v>2012</v>
      </c>
      <c r="I1064" s="2" t="s">
        <v>5956</v>
      </c>
      <c r="J1064" s="2" t="s">
        <v>15</v>
      </c>
      <c r="K1064" s="2" t="s">
        <v>5957</v>
      </c>
    </row>
    <row r="1065" spans="1:11" x14ac:dyDescent="0.25">
      <c r="A1065" s="2" t="s">
        <v>2822</v>
      </c>
      <c r="B1065" s="2" t="str">
        <f>"V4768289503001"</f>
        <v>V4768289503001</v>
      </c>
      <c r="C1065" s="2" t="s">
        <v>5958</v>
      </c>
      <c r="D1065" s="2" t="s">
        <v>2172</v>
      </c>
      <c r="E1065" s="2" t="s">
        <v>2824</v>
      </c>
      <c r="F1065" s="2" t="s">
        <v>13</v>
      </c>
      <c r="H1065" s="2">
        <v>2016</v>
      </c>
      <c r="I1065" s="2" t="s">
        <v>2825</v>
      </c>
      <c r="J1065" s="2" t="s">
        <v>15</v>
      </c>
      <c r="K1065" s="2" t="s">
        <v>5959</v>
      </c>
    </row>
    <row r="1066" spans="1:11" x14ac:dyDescent="0.25">
      <c r="A1066" s="2" t="s">
        <v>2822</v>
      </c>
      <c r="B1066" s="2" t="str">
        <f>"V5762523952001"</f>
        <v>V5762523952001</v>
      </c>
      <c r="C1066" s="2" t="s">
        <v>5960</v>
      </c>
      <c r="D1066" s="2" t="s">
        <v>2511</v>
      </c>
      <c r="E1066" s="2" t="s">
        <v>3124</v>
      </c>
      <c r="F1066" s="2" t="s">
        <v>13</v>
      </c>
      <c r="H1066" s="2">
        <v>2018</v>
      </c>
      <c r="I1066" s="2" t="s">
        <v>5961</v>
      </c>
      <c r="J1066" s="2" t="s">
        <v>15</v>
      </c>
      <c r="K1066" s="2" t="s">
        <v>5962</v>
      </c>
    </row>
    <row r="1067" spans="1:11" x14ac:dyDescent="0.25">
      <c r="A1067" s="2" t="s">
        <v>2822</v>
      </c>
      <c r="B1067" s="2" t="str">
        <f>"V5762531196001"</f>
        <v>V5762531196001</v>
      </c>
      <c r="C1067" s="2" t="s">
        <v>5963</v>
      </c>
      <c r="D1067" s="2" t="s">
        <v>2511</v>
      </c>
      <c r="E1067" s="2" t="s">
        <v>3124</v>
      </c>
      <c r="F1067" s="2" t="s">
        <v>13</v>
      </c>
      <c r="H1067" s="2">
        <v>2018</v>
      </c>
      <c r="I1067" s="2" t="s">
        <v>5964</v>
      </c>
      <c r="J1067" s="2" t="s">
        <v>15</v>
      </c>
      <c r="K1067" s="2" t="s">
        <v>5965</v>
      </c>
    </row>
    <row r="1068" spans="1:11" x14ac:dyDescent="0.25">
      <c r="A1068" s="2" t="s">
        <v>2822</v>
      </c>
      <c r="B1068" s="2" t="str">
        <f>"V5762531782001"</f>
        <v>V5762531782001</v>
      </c>
      <c r="C1068" s="2" t="s">
        <v>5966</v>
      </c>
      <c r="D1068" s="2" t="s">
        <v>2511</v>
      </c>
      <c r="E1068" s="2" t="s">
        <v>3124</v>
      </c>
      <c r="F1068" s="2" t="s">
        <v>13</v>
      </c>
      <c r="H1068" s="2">
        <v>2018</v>
      </c>
      <c r="I1068" s="2" t="s">
        <v>5967</v>
      </c>
      <c r="J1068" s="2" t="s">
        <v>15</v>
      </c>
      <c r="K1068" s="2" t="s">
        <v>5968</v>
      </c>
    </row>
    <row r="1069" spans="1:11" x14ac:dyDescent="0.25">
      <c r="A1069" s="2" t="s">
        <v>2822</v>
      </c>
      <c r="B1069" s="2" t="str">
        <f>"V1931838147001"</f>
        <v>V1931838147001</v>
      </c>
      <c r="C1069" s="2" t="s">
        <v>5969</v>
      </c>
      <c r="D1069" s="2" t="s">
        <v>3208</v>
      </c>
      <c r="E1069" s="2" t="s">
        <v>2903</v>
      </c>
      <c r="F1069" s="2" t="s">
        <v>13</v>
      </c>
      <c r="H1069" s="2">
        <v>2012</v>
      </c>
      <c r="I1069" s="2" t="s">
        <v>5970</v>
      </c>
      <c r="J1069" s="2" t="s">
        <v>15</v>
      </c>
      <c r="K1069" s="2" t="s">
        <v>5971</v>
      </c>
    </row>
    <row r="1070" spans="1:11" x14ac:dyDescent="0.25">
      <c r="A1070" s="2" t="s">
        <v>2822</v>
      </c>
      <c r="B1070" s="2" t="str">
        <f>"V1948933348001"</f>
        <v>V1948933348001</v>
      </c>
      <c r="C1070" s="2" t="s">
        <v>5972</v>
      </c>
      <c r="D1070" s="2" t="s">
        <v>3208</v>
      </c>
      <c r="E1070" s="2" t="s">
        <v>2903</v>
      </c>
      <c r="F1070" s="2" t="s">
        <v>13</v>
      </c>
      <c r="H1070" s="2">
        <v>2012</v>
      </c>
      <c r="I1070" s="2" t="s">
        <v>5973</v>
      </c>
      <c r="J1070" s="2" t="s">
        <v>15</v>
      </c>
      <c r="K1070" s="2" t="s">
        <v>5974</v>
      </c>
    </row>
    <row r="1071" spans="1:11" x14ac:dyDescent="0.25">
      <c r="A1071" s="2" t="s">
        <v>2822</v>
      </c>
      <c r="B1071" s="2" t="str">
        <f>"V4768134746001"</f>
        <v>V4768134746001</v>
      </c>
      <c r="C1071" s="2" t="s">
        <v>5975</v>
      </c>
      <c r="D1071" s="2" t="s">
        <v>2172</v>
      </c>
      <c r="E1071" s="2" t="s">
        <v>2824</v>
      </c>
      <c r="F1071" s="2" t="s">
        <v>13</v>
      </c>
      <c r="H1071" s="2">
        <v>2016</v>
      </c>
      <c r="I1071" s="2" t="s">
        <v>2825</v>
      </c>
      <c r="J1071" s="2" t="s">
        <v>15</v>
      </c>
      <c r="K1071" s="2" t="s">
        <v>5976</v>
      </c>
    </row>
    <row r="1072" spans="1:11" x14ac:dyDescent="0.25">
      <c r="A1072" s="2" t="s">
        <v>2822</v>
      </c>
      <c r="B1072" s="2" t="str">
        <f>"V3667696170001"</f>
        <v>V3667696170001</v>
      </c>
      <c r="C1072" s="2" t="s">
        <v>5977</v>
      </c>
      <c r="D1072" s="2" t="s">
        <v>3111</v>
      </c>
      <c r="E1072" s="2" t="s">
        <v>3112</v>
      </c>
      <c r="F1072" s="2" t="s">
        <v>13</v>
      </c>
      <c r="H1072" s="2">
        <v>2014</v>
      </c>
      <c r="I1072" s="2" t="s">
        <v>5978</v>
      </c>
      <c r="J1072" s="2" t="s">
        <v>15</v>
      </c>
      <c r="K1072" s="2" t="s">
        <v>5979</v>
      </c>
    </row>
    <row r="1073" spans="1:11" x14ac:dyDescent="0.25">
      <c r="A1073" s="2" t="s">
        <v>2822</v>
      </c>
      <c r="B1073" s="2" t="str">
        <f>"V3667696169001"</f>
        <v>V3667696169001</v>
      </c>
      <c r="C1073" s="2" t="s">
        <v>5980</v>
      </c>
      <c r="D1073" s="2" t="s">
        <v>3111</v>
      </c>
      <c r="E1073" s="2" t="s">
        <v>3112</v>
      </c>
      <c r="F1073" s="2" t="s">
        <v>13</v>
      </c>
      <c r="H1073" s="2">
        <v>2014</v>
      </c>
      <c r="I1073" s="2" t="s">
        <v>5981</v>
      </c>
      <c r="J1073" s="2" t="s">
        <v>15</v>
      </c>
      <c r="K1073" s="2" t="s">
        <v>5982</v>
      </c>
    </row>
    <row r="1074" spans="1:11" x14ac:dyDescent="0.25">
      <c r="A1074" s="2" t="s">
        <v>2822</v>
      </c>
      <c r="B1074" s="2" t="str">
        <f>"V1402345911001"</f>
        <v>V1402345911001</v>
      </c>
      <c r="C1074" s="2" t="s">
        <v>5983</v>
      </c>
      <c r="D1074" s="2" t="s">
        <v>2358</v>
      </c>
      <c r="E1074" s="2" t="s">
        <v>3087</v>
      </c>
      <c r="F1074" s="2" t="s">
        <v>13</v>
      </c>
      <c r="H1074" s="2">
        <v>2011</v>
      </c>
      <c r="I1074" s="2" t="s">
        <v>5984</v>
      </c>
      <c r="J1074" s="2" t="s">
        <v>15</v>
      </c>
      <c r="K1074" s="2" t="s">
        <v>5985</v>
      </c>
    </row>
    <row r="1075" spans="1:11" x14ac:dyDescent="0.25">
      <c r="A1075" s="2" t="s">
        <v>2822</v>
      </c>
      <c r="B1075" s="2" t="str">
        <f>"V2433899713001"</f>
        <v>V2433899713001</v>
      </c>
      <c r="C1075" s="2" t="s">
        <v>5986</v>
      </c>
      <c r="D1075" s="2" t="s">
        <v>2910</v>
      </c>
      <c r="E1075" s="2" t="s">
        <v>2911</v>
      </c>
      <c r="F1075" s="2" t="s">
        <v>13</v>
      </c>
      <c r="H1075" s="2">
        <v>2013</v>
      </c>
      <c r="I1075" s="2" t="s">
        <v>5987</v>
      </c>
      <c r="J1075" s="2" t="s">
        <v>15</v>
      </c>
      <c r="K1075" s="2" t="s">
        <v>5988</v>
      </c>
    </row>
    <row r="1076" spans="1:11" x14ac:dyDescent="0.25">
      <c r="A1076" s="2" t="s">
        <v>2822</v>
      </c>
      <c r="B1076" s="2" t="str">
        <f>"V3422515624001"</f>
        <v>V3422515624001</v>
      </c>
      <c r="C1076" s="2" t="s">
        <v>5989</v>
      </c>
      <c r="D1076" s="2" t="s">
        <v>1727</v>
      </c>
      <c r="E1076" s="2" t="s">
        <v>2903</v>
      </c>
      <c r="F1076" s="2" t="s">
        <v>13</v>
      </c>
      <c r="H1076" s="2">
        <v>2014</v>
      </c>
      <c r="I1076" s="2" t="s">
        <v>5990</v>
      </c>
      <c r="J1076" s="2" t="s">
        <v>15</v>
      </c>
      <c r="K1076" s="2" t="s">
        <v>5991</v>
      </c>
    </row>
    <row r="1077" spans="1:11" x14ac:dyDescent="0.25">
      <c r="A1077" s="2" t="s">
        <v>2822</v>
      </c>
      <c r="B1077" s="2" t="str">
        <f>"V1931854275001"</f>
        <v>V1931854275001</v>
      </c>
      <c r="C1077" s="2" t="s">
        <v>5992</v>
      </c>
      <c r="D1077" s="2" t="s">
        <v>3208</v>
      </c>
      <c r="E1077" s="2" t="s">
        <v>2903</v>
      </c>
      <c r="F1077" s="2" t="s">
        <v>13</v>
      </c>
      <c r="H1077" s="2">
        <v>2012</v>
      </c>
      <c r="I1077" s="2" t="s">
        <v>5993</v>
      </c>
      <c r="J1077" s="2" t="s">
        <v>15</v>
      </c>
      <c r="K1077" s="2" t="s">
        <v>5994</v>
      </c>
    </row>
    <row r="1078" spans="1:11" x14ac:dyDescent="0.25">
      <c r="A1078" s="2" t="s">
        <v>2822</v>
      </c>
      <c r="B1078" s="2" t="str">
        <f>"V1931831091001"</f>
        <v>V1931831091001</v>
      </c>
      <c r="C1078" s="2" t="s">
        <v>5995</v>
      </c>
      <c r="D1078" s="2" t="s">
        <v>3208</v>
      </c>
      <c r="E1078" s="2" t="s">
        <v>2903</v>
      </c>
      <c r="F1078" s="2" t="s">
        <v>13</v>
      </c>
      <c r="H1078" s="2">
        <v>2012</v>
      </c>
      <c r="I1078" s="2" t="s">
        <v>5996</v>
      </c>
      <c r="J1078" s="2" t="s">
        <v>15</v>
      </c>
      <c r="K1078" s="2" t="s">
        <v>5997</v>
      </c>
    </row>
    <row r="1079" spans="1:11" x14ac:dyDescent="0.25">
      <c r="A1079" s="2" t="s">
        <v>2822</v>
      </c>
      <c r="B1079" s="2" t="str">
        <f>"V4199138216001"</f>
        <v>V4199138216001</v>
      </c>
      <c r="C1079" s="2" t="s">
        <v>5998</v>
      </c>
      <c r="D1079" s="2" t="s">
        <v>3517</v>
      </c>
      <c r="E1079" s="2" t="s">
        <v>2915</v>
      </c>
      <c r="F1079" s="2" t="s">
        <v>13</v>
      </c>
      <c r="H1079" s="2">
        <v>2015</v>
      </c>
      <c r="I1079" s="2" t="s">
        <v>5999</v>
      </c>
      <c r="J1079" s="2" t="s">
        <v>15</v>
      </c>
      <c r="K1079" s="2" t="s">
        <v>6000</v>
      </c>
    </row>
    <row r="1080" spans="1:11" x14ac:dyDescent="0.25">
      <c r="A1080" s="2" t="s">
        <v>2822</v>
      </c>
      <c r="B1080" s="2" t="str">
        <f>"V4199176155001"</f>
        <v>V4199176155001</v>
      </c>
      <c r="C1080" s="2" t="s">
        <v>6001</v>
      </c>
      <c r="D1080" s="2" t="s">
        <v>3517</v>
      </c>
      <c r="E1080" s="2" t="s">
        <v>2915</v>
      </c>
      <c r="F1080" s="2" t="s">
        <v>13</v>
      </c>
      <c r="H1080" s="2">
        <v>2015</v>
      </c>
      <c r="I1080" s="2" t="s">
        <v>6002</v>
      </c>
      <c r="J1080" s="2" t="s">
        <v>15</v>
      </c>
      <c r="K1080" s="2" t="s">
        <v>6003</v>
      </c>
    </row>
    <row r="1081" spans="1:11" x14ac:dyDescent="0.25">
      <c r="A1081" s="2" t="s">
        <v>2822</v>
      </c>
      <c r="B1081" s="2" t="str">
        <f>"V4199201575001"</f>
        <v>V4199201575001</v>
      </c>
      <c r="C1081" s="2" t="s">
        <v>6004</v>
      </c>
      <c r="D1081" s="2" t="s">
        <v>3517</v>
      </c>
      <c r="E1081" s="2" t="s">
        <v>2915</v>
      </c>
      <c r="F1081" s="2" t="s">
        <v>13</v>
      </c>
      <c r="H1081" s="2">
        <v>2015</v>
      </c>
      <c r="I1081" s="2" t="s">
        <v>6005</v>
      </c>
      <c r="J1081" s="2" t="s">
        <v>15</v>
      </c>
      <c r="K1081" s="2" t="s">
        <v>6006</v>
      </c>
    </row>
    <row r="1082" spans="1:11" x14ac:dyDescent="0.25">
      <c r="A1082" s="2" t="s">
        <v>2822</v>
      </c>
      <c r="B1082" s="2" t="str">
        <f>"V1838563025001"</f>
        <v>V1838563025001</v>
      </c>
      <c r="C1082" s="2" t="s">
        <v>6007</v>
      </c>
      <c r="D1082" s="2" t="s">
        <v>3086</v>
      </c>
      <c r="E1082" s="2" t="s">
        <v>3232</v>
      </c>
      <c r="F1082" s="2" t="s">
        <v>13</v>
      </c>
      <c r="H1082" s="2">
        <v>2012</v>
      </c>
      <c r="I1082" s="2" t="s">
        <v>6008</v>
      </c>
      <c r="J1082" s="2" t="s">
        <v>15</v>
      </c>
      <c r="K1082" s="2" t="s">
        <v>6009</v>
      </c>
    </row>
    <row r="1083" spans="1:11" x14ac:dyDescent="0.25">
      <c r="A1083" s="2" t="s">
        <v>2822</v>
      </c>
      <c r="B1083" s="2" t="str">
        <f>"V1838565654001"</f>
        <v>V1838565654001</v>
      </c>
      <c r="C1083" s="2" t="s">
        <v>6010</v>
      </c>
      <c r="D1083" s="2" t="s">
        <v>3086</v>
      </c>
      <c r="E1083" s="2" t="s">
        <v>3232</v>
      </c>
      <c r="F1083" s="2" t="s">
        <v>13</v>
      </c>
      <c r="H1083" s="2">
        <v>2012</v>
      </c>
      <c r="I1083" s="2" t="s">
        <v>6011</v>
      </c>
      <c r="J1083" s="2" t="s">
        <v>15</v>
      </c>
      <c r="K1083" s="2" t="s">
        <v>6012</v>
      </c>
    </row>
    <row r="1084" spans="1:11" x14ac:dyDescent="0.25">
      <c r="A1084" s="2" t="s">
        <v>2822</v>
      </c>
      <c r="B1084" s="2" t="str">
        <f>"V1402381068001"</f>
        <v>V1402381068001</v>
      </c>
      <c r="C1084" s="2" t="s">
        <v>6013</v>
      </c>
      <c r="D1084" s="2" t="s">
        <v>2358</v>
      </c>
      <c r="E1084" s="2" t="s">
        <v>3204</v>
      </c>
      <c r="F1084" s="2" t="s">
        <v>13</v>
      </c>
      <c r="H1084" s="2">
        <v>2011</v>
      </c>
      <c r="I1084" s="2" t="s">
        <v>6014</v>
      </c>
      <c r="J1084" s="2" t="s">
        <v>15</v>
      </c>
      <c r="K1084" s="2" t="s">
        <v>6015</v>
      </c>
    </row>
    <row r="1085" spans="1:11" x14ac:dyDescent="0.25">
      <c r="A1085" s="2" t="s">
        <v>2822</v>
      </c>
      <c r="B1085" s="2" t="str">
        <f>"V3615833507001"</f>
        <v>V3615833507001</v>
      </c>
      <c r="C1085" s="2" t="s">
        <v>6016</v>
      </c>
      <c r="D1085" s="2" t="s">
        <v>3111</v>
      </c>
      <c r="E1085" s="2" t="s">
        <v>3112</v>
      </c>
      <c r="F1085" s="2" t="s">
        <v>13</v>
      </c>
      <c r="H1085" s="2">
        <v>2014</v>
      </c>
      <c r="I1085" s="2" t="s">
        <v>6017</v>
      </c>
      <c r="J1085" s="2" t="s">
        <v>15</v>
      </c>
      <c r="K1085" s="2" t="s">
        <v>6018</v>
      </c>
    </row>
  </sheetData>
  <autoFilter ref="A1:K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pane ySplit="1" topLeftCell="A2" activePane="bottomLeft" state="frozen"/>
      <selection pane="bottomLeft" activeCell="C30" sqref="C30"/>
    </sheetView>
  </sheetViews>
  <sheetFormatPr defaultRowHeight="15" x14ac:dyDescent="0.25"/>
  <cols>
    <col min="1" max="1" width="13.28515625" style="2" customWidth="1"/>
    <col min="2" max="2" width="9.140625" style="2"/>
    <col min="3" max="3" width="53.42578125" style="2" customWidth="1"/>
    <col min="4" max="4" width="18.140625" style="2" customWidth="1"/>
    <col min="5" max="5" width="14" style="2" customWidth="1"/>
    <col min="6" max="6" width="11.5703125" style="2" customWidth="1"/>
    <col min="7" max="7" width="11.28515625" style="2" customWidth="1"/>
    <col min="8" max="8" width="51.5703125" style="2" customWidth="1"/>
    <col min="9" max="16384" width="9.140625" style="2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 t="s">
        <v>6019</v>
      </c>
      <c r="B2" s="2" t="str">
        <f>"S0040_Venturi_Meter_Gas_Flow_Calculations"</f>
        <v>S0040_Venturi_Meter_Gas_Flow_Calculations</v>
      </c>
      <c r="C2" s="2" t="s">
        <v>6020</v>
      </c>
      <c r="D2" s="2" t="s">
        <v>6021</v>
      </c>
      <c r="E2" s="2" t="s">
        <v>13</v>
      </c>
      <c r="G2" s="3">
        <v>43495</v>
      </c>
      <c r="H2" s="2" t="s">
        <v>6022</v>
      </c>
      <c r="I2" s="2" t="s">
        <v>15</v>
      </c>
      <c r="J2" s="2" t="s">
        <v>6023</v>
      </c>
    </row>
    <row r="3" spans="1:10" x14ac:dyDescent="0.25">
      <c r="A3" s="2" t="s">
        <v>6019</v>
      </c>
      <c r="B3" s="2" t="str">
        <f>"S0045_MBR_Process_Design_Calculations"</f>
        <v>S0045_MBR_Process_Design_Calculations</v>
      </c>
      <c r="C3" s="2" t="s">
        <v>6024</v>
      </c>
      <c r="D3" s="2" t="s">
        <v>6021</v>
      </c>
      <c r="E3" s="2" t="s">
        <v>13</v>
      </c>
      <c r="G3" s="3">
        <v>43550</v>
      </c>
      <c r="H3" s="2" t="s">
        <v>6025</v>
      </c>
      <c r="I3" s="2" t="s">
        <v>15</v>
      </c>
      <c r="J3" s="2" t="s">
        <v>6026</v>
      </c>
    </row>
    <row r="4" spans="1:10" x14ac:dyDescent="0.25">
      <c r="A4" s="2" t="s">
        <v>6019</v>
      </c>
      <c r="B4" s="2" t="str">
        <f>"S0028_Sharp_Crested_Weir"</f>
        <v>S0028_Sharp_Crested_Weir</v>
      </c>
      <c r="C4" s="2" t="s">
        <v>6027</v>
      </c>
      <c r="D4" s="2" t="s">
        <v>6021</v>
      </c>
      <c r="E4" s="2" t="s">
        <v>13</v>
      </c>
      <c r="G4" s="3">
        <v>43454</v>
      </c>
      <c r="H4" s="2" t="s">
        <v>6028</v>
      </c>
      <c r="I4" s="2" t="s">
        <v>15</v>
      </c>
      <c r="J4" s="2" t="s">
        <v>6029</v>
      </c>
    </row>
    <row r="5" spans="1:10" x14ac:dyDescent="0.25">
      <c r="A5" s="2" t="s">
        <v>6019</v>
      </c>
      <c r="B5" s="2" t="str">
        <f>"S0004_Detention_Pond_Routing_by_the_Storage_Indication_Method"</f>
        <v>S0004_Detention_Pond_Routing_by_the_Storage_Indication_Method</v>
      </c>
      <c r="C5" s="2" t="s">
        <v>6030</v>
      </c>
      <c r="D5" s="2" t="s">
        <v>6031</v>
      </c>
      <c r="E5" s="2" t="s">
        <v>13</v>
      </c>
      <c r="G5" s="3">
        <v>43495</v>
      </c>
      <c r="H5" s="2" t="s">
        <v>6032</v>
      </c>
      <c r="I5" s="2" t="s">
        <v>15</v>
      </c>
      <c r="J5" s="2" t="s">
        <v>6033</v>
      </c>
    </row>
    <row r="6" spans="1:10" x14ac:dyDescent="0.25">
      <c r="A6" s="2" t="s">
        <v>6019</v>
      </c>
      <c r="B6" s="2" t="str">
        <f>"S0044_Thermodynamic_P-V-T_Calculations_for_Gases"</f>
        <v>S0044_Thermodynamic_P-V-T_Calculations_for_Gases</v>
      </c>
      <c r="C6" s="2" t="s">
        <v>6034</v>
      </c>
      <c r="D6" s="2" t="s">
        <v>6021</v>
      </c>
      <c r="E6" s="2" t="s">
        <v>13</v>
      </c>
      <c r="G6" s="3">
        <v>43469</v>
      </c>
      <c r="H6" s="2" t="s">
        <v>6035</v>
      </c>
      <c r="I6" s="2" t="s">
        <v>15</v>
      </c>
      <c r="J6" s="2" t="s">
        <v>6036</v>
      </c>
    </row>
    <row r="7" spans="1:10" x14ac:dyDescent="0.25">
      <c r="A7" s="2" t="s">
        <v>6019</v>
      </c>
      <c r="B7" s="2" t="str">
        <f>"S0043_Compressible_Fanno_Flow_Through_a_Pipe"</f>
        <v>S0043_Compressible_Fanno_Flow_Through_a_Pipe</v>
      </c>
      <c r="C7" s="2" t="s">
        <v>6037</v>
      </c>
      <c r="D7" s="2" t="s">
        <v>6021</v>
      </c>
      <c r="E7" s="2" t="s">
        <v>13</v>
      </c>
      <c r="G7" s="3">
        <v>43496</v>
      </c>
      <c r="H7" s="2" t="s">
        <v>6038</v>
      </c>
      <c r="I7" s="2" t="s">
        <v>15</v>
      </c>
      <c r="J7" s="2" t="s">
        <v>6039</v>
      </c>
    </row>
    <row r="8" spans="1:10" x14ac:dyDescent="0.25">
      <c r="A8" s="2" t="s">
        <v>6019</v>
      </c>
      <c r="B8" s="2" t="str">
        <f>"S0014_Analysis_of_a_Propped_Cantilever_Beam"</f>
        <v>S0014_Analysis_of_a_Propped_Cantilever_Beam</v>
      </c>
      <c r="C8" s="2" t="s">
        <v>6040</v>
      </c>
      <c r="D8" s="2" t="s">
        <v>6041</v>
      </c>
      <c r="E8" s="2" t="s">
        <v>13</v>
      </c>
      <c r="G8" s="3">
        <v>43448</v>
      </c>
      <c r="H8" s="2" t="s">
        <v>6042</v>
      </c>
      <c r="I8" s="2" t="s">
        <v>15</v>
      </c>
      <c r="J8" s="2" t="s">
        <v>6043</v>
      </c>
    </row>
    <row r="9" spans="1:10" x14ac:dyDescent="0.25">
      <c r="A9" s="2" t="s">
        <v>6019</v>
      </c>
      <c r="B9" s="2" t="str">
        <f>"S0049_Sutro_Weir_Design_and_Flow_Calculations"</f>
        <v>S0049_Sutro_Weir_Design_and_Flow_Calculations</v>
      </c>
      <c r="C9" s="2" t="s">
        <v>6044</v>
      </c>
      <c r="D9" s="2" t="s">
        <v>6021</v>
      </c>
      <c r="E9" s="2" t="s">
        <v>13</v>
      </c>
      <c r="G9" s="3">
        <v>43782</v>
      </c>
      <c r="H9" s="2" t="s">
        <v>6045</v>
      </c>
      <c r="I9" s="2" t="s">
        <v>15</v>
      </c>
      <c r="J9" s="2" t="s">
        <v>6046</v>
      </c>
    </row>
    <row r="10" spans="1:10" x14ac:dyDescent="0.25">
      <c r="A10" s="2" t="s">
        <v>6019</v>
      </c>
      <c r="B10" s="2" t="str">
        <f>"S0042_Hydraulic_Grade_Line_and_Energy_Grade_Line_Calculations"</f>
        <v>S0042_Hydraulic_Grade_Line_and_Energy_Grade_Line_Calculations</v>
      </c>
      <c r="C10" s="2" t="s">
        <v>6047</v>
      </c>
      <c r="D10" s="2" t="s">
        <v>6021</v>
      </c>
      <c r="E10" s="2" t="s">
        <v>13</v>
      </c>
      <c r="G10" s="3">
        <v>43495</v>
      </c>
      <c r="H10" s="2" t="s">
        <v>6048</v>
      </c>
      <c r="I10" s="2" t="s">
        <v>15</v>
      </c>
      <c r="J10" s="2" t="s">
        <v>6049</v>
      </c>
    </row>
    <row r="11" spans="1:10" x14ac:dyDescent="0.25">
      <c r="A11" s="2" t="s">
        <v>6019</v>
      </c>
      <c r="B11" s="2" t="str">
        <f>"S0034_Non-Uniform_Flow_Surface_Profiles"</f>
        <v>S0034_Non-Uniform_Flow_Surface_Profiles</v>
      </c>
      <c r="C11" s="2" t="s">
        <v>6050</v>
      </c>
      <c r="D11" s="2" t="s">
        <v>6021</v>
      </c>
      <c r="E11" s="2" t="s">
        <v>13</v>
      </c>
      <c r="G11" s="3">
        <v>43496</v>
      </c>
      <c r="H11" s="2" t="s">
        <v>6051</v>
      </c>
      <c r="I11" s="2" t="s">
        <v>15</v>
      </c>
      <c r="J11" s="2" t="s">
        <v>6052</v>
      </c>
    </row>
    <row r="12" spans="1:10" x14ac:dyDescent="0.25">
      <c r="A12" s="2" t="s">
        <v>6019</v>
      </c>
      <c r="B12" s="2" t="str">
        <f>"S0024_Gas_Flow_Orifice_Meter_Calculations"</f>
        <v>S0024_Gas_Flow_Orifice_Meter_Calculations</v>
      </c>
      <c r="C12" s="2" t="s">
        <v>6053</v>
      </c>
      <c r="D12" s="2" t="s">
        <v>6021</v>
      </c>
      <c r="E12" s="2" t="s">
        <v>13</v>
      </c>
      <c r="G12" s="3">
        <v>43496</v>
      </c>
      <c r="H12" s="2" t="s">
        <v>6054</v>
      </c>
      <c r="I12" s="2" t="s">
        <v>15</v>
      </c>
      <c r="J12" s="2" t="s">
        <v>6055</v>
      </c>
    </row>
    <row r="13" spans="1:10" x14ac:dyDescent="0.25">
      <c r="A13" s="2" t="s">
        <v>6019</v>
      </c>
      <c r="B13" s="2" t="str">
        <f>"S0050_Control_System_Analysis"</f>
        <v>S0050_Control_System_Analysis</v>
      </c>
      <c r="C13" s="2" t="s">
        <v>6056</v>
      </c>
      <c r="D13" s="2" t="s">
        <v>6057</v>
      </c>
      <c r="E13" s="2" t="s">
        <v>13</v>
      </c>
      <c r="G13" s="3">
        <v>43809</v>
      </c>
      <c r="H13" s="2" t="s">
        <v>6058</v>
      </c>
      <c r="I13" s="2" t="s">
        <v>15</v>
      </c>
      <c r="J13" s="2" t="s">
        <v>6059</v>
      </c>
    </row>
    <row r="14" spans="1:10" x14ac:dyDescent="0.25">
      <c r="A14" s="2" t="s">
        <v>6019</v>
      </c>
      <c r="B14" s="2" t="str">
        <f>"S0013_Analysis_of_a_Cantilever_Beam"</f>
        <v>S0013_Analysis_of_a_Cantilever_Beam</v>
      </c>
      <c r="C14" s="2" t="s">
        <v>6060</v>
      </c>
      <c r="D14" s="2" t="s">
        <v>6041</v>
      </c>
      <c r="E14" s="2" t="s">
        <v>13</v>
      </c>
      <c r="G14" s="3">
        <v>43502</v>
      </c>
      <c r="H14" s="2" t="s">
        <v>6042</v>
      </c>
      <c r="I14" s="2" t="s">
        <v>15</v>
      </c>
      <c r="J14" s="2" t="s">
        <v>6061</v>
      </c>
    </row>
    <row r="15" spans="1:10" x14ac:dyDescent="0.25">
      <c r="A15" s="2" t="s">
        <v>6019</v>
      </c>
      <c r="B15" s="2" t="str">
        <f>"S0016_Incompressible_Annulus_and_Duct_Flow_Calculations"</f>
        <v>S0016_Incompressible_Annulus_and_Duct_Flow_Calculations</v>
      </c>
      <c r="C15" s="2" t="s">
        <v>6062</v>
      </c>
      <c r="D15" s="2" t="s">
        <v>6021</v>
      </c>
      <c r="E15" s="2" t="s">
        <v>13</v>
      </c>
      <c r="G15" s="3">
        <v>43497</v>
      </c>
      <c r="H15" s="2" t="s">
        <v>6063</v>
      </c>
      <c r="I15" s="2" t="s">
        <v>15</v>
      </c>
      <c r="J15" s="2" t="s">
        <v>6064</v>
      </c>
    </row>
    <row r="16" spans="1:10" x14ac:dyDescent="0.25">
      <c r="A16" s="2" t="s">
        <v>6019</v>
      </c>
      <c r="B16" s="2" t="str">
        <f>"S0032_Continuous_2-span_Beam_Calculations"</f>
        <v>S0032_Continuous_2-span_Beam_Calculations</v>
      </c>
      <c r="C16" s="2" t="s">
        <v>6065</v>
      </c>
      <c r="D16" s="2" t="s">
        <v>6041</v>
      </c>
      <c r="E16" s="2" t="s">
        <v>13</v>
      </c>
      <c r="G16" s="3">
        <v>43447</v>
      </c>
      <c r="H16" s="2" t="s">
        <v>6066</v>
      </c>
      <c r="I16" s="2" t="s">
        <v>15</v>
      </c>
      <c r="J16" s="2" t="s">
        <v>6067</v>
      </c>
    </row>
    <row r="17" spans="1:10" x14ac:dyDescent="0.25">
      <c r="A17" s="2" t="s">
        <v>6019</v>
      </c>
      <c r="B17" s="2" t="str">
        <f>"S0051_Control_System_Design"</f>
        <v>S0051_Control_System_Design</v>
      </c>
      <c r="C17" s="2" t="s">
        <v>6068</v>
      </c>
      <c r="D17" s="2" t="s">
        <v>6057</v>
      </c>
      <c r="E17" s="2" t="s">
        <v>13</v>
      </c>
      <c r="G17" s="3">
        <v>43809</v>
      </c>
      <c r="H17" s="2" t="s">
        <v>6069</v>
      </c>
      <c r="I17" s="2" t="s">
        <v>15</v>
      </c>
      <c r="J17" s="2" t="s">
        <v>6070</v>
      </c>
    </row>
    <row r="18" spans="1:10" x14ac:dyDescent="0.25">
      <c r="A18" s="2" t="s">
        <v>6019</v>
      </c>
      <c r="B18" s="2" t="str">
        <f>"S0002_Analysis_of_a_Simply_Supported_Beam"</f>
        <v>S0002_Analysis_of_a_Simply_Supported_Beam</v>
      </c>
      <c r="C18" s="2" t="s">
        <v>6071</v>
      </c>
      <c r="D18" s="2" t="s">
        <v>6041</v>
      </c>
      <c r="E18" s="2" t="s">
        <v>13</v>
      </c>
      <c r="G18" s="3">
        <v>43448</v>
      </c>
      <c r="H18" s="2" t="s">
        <v>6072</v>
      </c>
      <c r="I18" s="2" t="s">
        <v>15</v>
      </c>
      <c r="J18" s="2" t="s">
        <v>6073</v>
      </c>
    </row>
    <row r="19" spans="1:10" x14ac:dyDescent="0.25">
      <c r="A19" s="2" t="s">
        <v>6019</v>
      </c>
      <c r="B19" s="2" t="str">
        <f>"S0037_Reinforced_Concrete_Columns"</f>
        <v>S0037_Reinforced_Concrete_Columns</v>
      </c>
      <c r="C19" s="2" t="s">
        <v>6074</v>
      </c>
      <c r="D19" s="2" t="s">
        <v>6075</v>
      </c>
      <c r="E19" s="2" t="s">
        <v>13</v>
      </c>
      <c r="G19" s="3">
        <v>42977</v>
      </c>
      <c r="H19" s="2" t="s">
        <v>6076</v>
      </c>
      <c r="I19" s="2" t="s">
        <v>15</v>
      </c>
      <c r="J19" s="2" t="s">
        <v>6077</v>
      </c>
    </row>
    <row r="20" spans="1:10" x14ac:dyDescent="0.25">
      <c r="A20" s="2" t="s">
        <v>6019</v>
      </c>
      <c r="B20" s="2" t="str">
        <f>"S0026_Field_Oxygen_Transfer_Efficiency_and_Aeration_Diffuser_Calculations"</f>
        <v>S0026_Field_Oxygen_Transfer_Efficiency_and_Aeration_Diffuser_Calculations</v>
      </c>
      <c r="C20" s="2" t="s">
        <v>6078</v>
      </c>
      <c r="D20" s="2" t="s">
        <v>6079</v>
      </c>
      <c r="E20" s="2" t="s">
        <v>13</v>
      </c>
      <c r="G20" s="3">
        <v>43497</v>
      </c>
      <c r="H20" s="2" t="s">
        <v>6080</v>
      </c>
      <c r="I20" s="2" t="s">
        <v>15</v>
      </c>
      <c r="J20" s="2" t="s">
        <v>6081</v>
      </c>
    </row>
    <row r="21" spans="1:10" x14ac:dyDescent="0.25">
      <c r="A21" s="2" t="s">
        <v>6019</v>
      </c>
      <c r="B21" s="2" t="str">
        <f>"S0048_Partially_Full_Pipe_Flow_Calculations_Viscous_Liquids"</f>
        <v>S0048_Partially_Full_Pipe_Flow_Calculations_Viscous_Liquids</v>
      </c>
      <c r="C21" s="2" t="s">
        <v>6082</v>
      </c>
      <c r="D21" s="2" t="s">
        <v>6021</v>
      </c>
      <c r="E21" s="2" t="s">
        <v>13</v>
      </c>
      <c r="G21" s="3">
        <v>43776</v>
      </c>
      <c r="H21" s="2" t="s">
        <v>6083</v>
      </c>
      <c r="I21" s="2" t="s">
        <v>15</v>
      </c>
      <c r="J21" s="2" t="s">
        <v>6084</v>
      </c>
    </row>
    <row r="22" spans="1:10" x14ac:dyDescent="0.25">
      <c r="A22" s="2" t="s">
        <v>6019</v>
      </c>
      <c r="B22" s="2" t="str">
        <f>"S0033_Overhang_Beam_Calculations"</f>
        <v>S0033_Overhang_Beam_Calculations</v>
      </c>
      <c r="C22" s="2" t="s">
        <v>6085</v>
      </c>
      <c r="D22" s="2" t="s">
        <v>6041</v>
      </c>
      <c r="E22" s="2" t="s">
        <v>13</v>
      </c>
      <c r="G22" s="3">
        <v>43447</v>
      </c>
      <c r="H22" s="2" t="s">
        <v>6086</v>
      </c>
      <c r="I22" s="2" t="s">
        <v>15</v>
      </c>
      <c r="J22" s="2" t="s">
        <v>6087</v>
      </c>
    </row>
    <row r="23" spans="1:10" x14ac:dyDescent="0.25">
      <c r="A23" s="2" t="s">
        <v>6019</v>
      </c>
      <c r="B23" s="2" t="str">
        <f>"S0015_Compressible_Flow_of_Air_in_Non_Circular_Ducts"</f>
        <v>S0015_Compressible_Flow_of_Air_in_Non_Circular_Ducts</v>
      </c>
      <c r="C23" s="2" t="s">
        <v>6088</v>
      </c>
      <c r="D23" s="2" t="s">
        <v>6021</v>
      </c>
      <c r="E23" s="2" t="s">
        <v>13</v>
      </c>
      <c r="G23" s="3">
        <v>43495</v>
      </c>
      <c r="H23" s="2" t="s">
        <v>6089</v>
      </c>
      <c r="I23" s="2" t="s">
        <v>15</v>
      </c>
      <c r="J23" s="2" t="s">
        <v>6090</v>
      </c>
    </row>
    <row r="24" spans="1:10" x14ac:dyDescent="0.25">
      <c r="A24" s="2" t="s">
        <v>6019</v>
      </c>
      <c r="B24" s="2" t="str">
        <f>"S0007_Lime_Soda_Water_Softening"</f>
        <v>S0007_Lime_Soda_Water_Softening</v>
      </c>
      <c r="C24" s="2" t="s">
        <v>6091</v>
      </c>
      <c r="D24" s="2" t="s">
        <v>6031</v>
      </c>
      <c r="E24" s="2" t="s">
        <v>13</v>
      </c>
      <c r="G24" s="3">
        <v>41822</v>
      </c>
      <c r="H24" s="2" t="s">
        <v>6092</v>
      </c>
      <c r="I24" s="2" t="s">
        <v>15</v>
      </c>
      <c r="J24" s="2" t="s">
        <v>6093</v>
      </c>
    </row>
    <row r="25" spans="1:10" x14ac:dyDescent="0.25">
      <c r="A25" s="2" t="s">
        <v>6019</v>
      </c>
      <c r="B25" s="2" t="str">
        <f>"S0029_MBBR_Nitrification_Denitrification_Calculations"</f>
        <v>S0029_MBBR_Nitrification_Denitrification_Calculations</v>
      </c>
      <c r="C25" s="2" t="s">
        <v>6094</v>
      </c>
      <c r="D25" s="2" t="s">
        <v>6021</v>
      </c>
      <c r="E25" s="2" t="s">
        <v>13</v>
      </c>
      <c r="G25" s="3">
        <v>43495</v>
      </c>
      <c r="H25" s="2" t="s">
        <v>6095</v>
      </c>
      <c r="I25" s="2" t="s">
        <v>15</v>
      </c>
      <c r="J25" s="2" t="s">
        <v>6096</v>
      </c>
    </row>
    <row r="26" spans="1:10" x14ac:dyDescent="0.25">
      <c r="A26" s="2" t="s">
        <v>6019</v>
      </c>
      <c r="B26" s="2" t="str">
        <f>"S0020_MBBR_Wastewater_Treatment_Basin_Sizing_and_Aeration_Calculations"</f>
        <v>S0020_MBBR_Wastewater_Treatment_Basin_Sizing_and_Aeration_Calculations</v>
      </c>
      <c r="C26" s="2" t="s">
        <v>6097</v>
      </c>
      <c r="D26" s="2" t="s">
        <v>6021</v>
      </c>
      <c r="E26" s="2" t="s">
        <v>13</v>
      </c>
      <c r="G26" s="3">
        <v>43496</v>
      </c>
      <c r="H26" s="2" t="s">
        <v>6098</v>
      </c>
      <c r="I26" s="2" t="s">
        <v>15</v>
      </c>
      <c r="J26" s="2" t="s">
        <v>6099</v>
      </c>
    </row>
    <row r="27" spans="1:10" x14ac:dyDescent="0.25">
      <c r="A27" s="2" t="s">
        <v>6019</v>
      </c>
      <c r="B27" s="2" t="str">
        <f>"S0027_SBR_Wastewater_Treatment_Design_Calculations"</f>
        <v>S0027_SBR_Wastewater_Treatment_Design_Calculations</v>
      </c>
      <c r="C27" s="2" t="s">
        <v>6100</v>
      </c>
      <c r="D27" s="2" t="s">
        <v>6021</v>
      </c>
      <c r="E27" s="2" t="s">
        <v>13</v>
      </c>
      <c r="G27" s="3">
        <v>43448</v>
      </c>
      <c r="H27" s="2" t="s">
        <v>6101</v>
      </c>
      <c r="I27" s="2" t="s">
        <v>15</v>
      </c>
      <c r="J27" s="2" t="s">
        <v>6102</v>
      </c>
    </row>
    <row r="28" spans="1:10" x14ac:dyDescent="0.25">
      <c r="A28" s="2" t="s">
        <v>6019</v>
      </c>
      <c r="B28" s="2" t="str">
        <f>"S0011_Thermal_Design_of_Double_Pipe_Heat_Exchangers"</f>
        <v>S0011_Thermal_Design_of_Double_Pipe_Heat_Exchangers</v>
      </c>
      <c r="C28" s="2" t="s">
        <v>6103</v>
      </c>
      <c r="D28" s="2" t="s">
        <v>6031</v>
      </c>
      <c r="E28" s="2" t="s">
        <v>13</v>
      </c>
      <c r="G28" s="3">
        <v>43495</v>
      </c>
      <c r="H28" s="2" t="s">
        <v>6104</v>
      </c>
      <c r="I28" s="2" t="s">
        <v>15</v>
      </c>
      <c r="J28" s="2" t="s">
        <v>6105</v>
      </c>
    </row>
    <row r="29" spans="1:10" x14ac:dyDescent="0.25">
      <c r="A29" s="2" t="s">
        <v>6019</v>
      </c>
      <c r="B29" s="2" t="str">
        <f>"S0021_Incompressible_Orifice_Flow_Meter_Calculations"</f>
        <v>S0021_Incompressible_Orifice_Flow_Meter_Calculations</v>
      </c>
      <c r="C29" s="2" t="s">
        <v>6106</v>
      </c>
      <c r="D29" s="2" t="s">
        <v>6021</v>
      </c>
      <c r="E29" s="2" t="s">
        <v>13</v>
      </c>
      <c r="G29" s="3">
        <v>43497</v>
      </c>
      <c r="H29" s="2" t="s">
        <v>6107</v>
      </c>
      <c r="I29" s="2" t="s">
        <v>15</v>
      </c>
      <c r="J29" s="2" t="s">
        <v>6108</v>
      </c>
    </row>
    <row r="30" spans="1:10" x14ac:dyDescent="0.25">
      <c r="A30" s="2" t="s">
        <v>6019</v>
      </c>
      <c r="B30" s="2" t="str">
        <f>"S0001_Activated_Sludge_Aeration_Tank_Calculations"</f>
        <v>S0001_Activated_Sludge_Aeration_Tank_Calculations</v>
      </c>
      <c r="C30" s="2" t="s">
        <v>6109</v>
      </c>
      <c r="D30" s="2" t="s">
        <v>6031</v>
      </c>
      <c r="E30" s="2" t="s">
        <v>13</v>
      </c>
      <c r="G30" s="3">
        <v>43482</v>
      </c>
      <c r="H30" s="2" t="s">
        <v>6110</v>
      </c>
      <c r="I30" s="2" t="s">
        <v>15</v>
      </c>
      <c r="J30" s="2" t="s">
        <v>6111</v>
      </c>
    </row>
    <row r="31" spans="1:10" x14ac:dyDescent="0.25">
      <c r="A31" s="2" t="s">
        <v>6019</v>
      </c>
      <c r="B31" s="2" t="str">
        <f>"S0009_Partially_Full_Pipe_Flow_Calculations"</f>
        <v>S0009_Partially_Full_Pipe_Flow_Calculations</v>
      </c>
      <c r="C31" s="2" t="s">
        <v>6112</v>
      </c>
      <c r="D31" s="2" t="s">
        <v>6031</v>
      </c>
      <c r="E31" s="2" t="s">
        <v>13</v>
      </c>
      <c r="G31" s="3">
        <v>43502</v>
      </c>
      <c r="H31" s="2" t="s">
        <v>6113</v>
      </c>
      <c r="I31" s="2" t="s">
        <v>15</v>
      </c>
      <c r="J31" s="2" t="s">
        <v>6114</v>
      </c>
    </row>
    <row r="32" spans="1:10" x14ac:dyDescent="0.25">
      <c r="A32" s="2" t="s">
        <v>6019</v>
      </c>
      <c r="B32" s="2" t="str">
        <f>"S0041_UASB_Wastewater_Treatment_Design_Calculations"</f>
        <v>S0041_UASB_Wastewater_Treatment_Design_Calculations</v>
      </c>
      <c r="C32" s="2" t="s">
        <v>6115</v>
      </c>
      <c r="D32" s="2" t="s">
        <v>6021</v>
      </c>
      <c r="E32" s="2" t="s">
        <v>13</v>
      </c>
      <c r="G32" s="3">
        <v>43495</v>
      </c>
      <c r="H32" s="2" t="s">
        <v>6116</v>
      </c>
      <c r="I32" s="2" t="s">
        <v>15</v>
      </c>
      <c r="J32" s="2" t="s">
        <v>6117</v>
      </c>
    </row>
    <row r="33" spans="1:10" x14ac:dyDescent="0.25">
      <c r="A33" s="2" t="s">
        <v>6019</v>
      </c>
      <c r="B33" s="2" t="str">
        <f>"S0056_D_O_Sag_Equation_Calculations"</f>
        <v>S0056_D_O_Sag_Equation_Calculations</v>
      </c>
      <c r="C33" s="2" t="s">
        <v>6118</v>
      </c>
      <c r="D33" s="2" t="s">
        <v>6021</v>
      </c>
      <c r="E33" s="2" t="s">
        <v>13</v>
      </c>
      <c r="G33" s="3">
        <v>44062</v>
      </c>
      <c r="H33" s="2" t="s">
        <v>6119</v>
      </c>
      <c r="I33" s="2" t="s">
        <v>15</v>
      </c>
      <c r="J33" s="2" t="s">
        <v>6120</v>
      </c>
    </row>
    <row r="34" spans="1:10" x14ac:dyDescent="0.25">
      <c r="A34" s="2" t="s">
        <v>6019</v>
      </c>
      <c r="B34" s="2" t="str">
        <f>"S0006_Incompressible_Flow_in_Pipes_and_Channels"</f>
        <v>S0006_Incompressible_Flow_in_Pipes_and_Channels</v>
      </c>
      <c r="C34" s="2" t="s">
        <v>6121</v>
      </c>
      <c r="D34" s="2" t="s">
        <v>6031</v>
      </c>
      <c r="E34" s="2" t="s">
        <v>13</v>
      </c>
      <c r="G34" s="3">
        <v>43497</v>
      </c>
      <c r="H34" s="2" t="s">
        <v>6122</v>
      </c>
      <c r="I34" s="2" t="s">
        <v>15</v>
      </c>
      <c r="J34" s="2" t="s">
        <v>6123</v>
      </c>
    </row>
    <row r="35" spans="1:10" x14ac:dyDescent="0.25">
      <c r="A35" s="2" t="s">
        <v>6019</v>
      </c>
      <c r="B35" s="2" t="str">
        <f>"S0005_Forced_Convection_Heat_Transfer_Coefficients"</f>
        <v>S0005_Forced_Convection_Heat_Transfer_Coefficients</v>
      </c>
      <c r="C35" s="2" t="s">
        <v>6124</v>
      </c>
      <c r="D35" s="2" t="s">
        <v>6031</v>
      </c>
      <c r="E35" s="2" t="s">
        <v>13</v>
      </c>
      <c r="G35" s="3">
        <v>43495</v>
      </c>
      <c r="H35" s="2" t="s">
        <v>6125</v>
      </c>
      <c r="I35" s="2" t="s">
        <v>15</v>
      </c>
      <c r="J35" s="2" t="s">
        <v>6126</v>
      </c>
    </row>
    <row r="36" spans="1:10" x14ac:dyDescent="0.25">
      <c r="A36" s="2" t="s">
        <v>6019</v>
      </c>
      <c r="B36" s="2" t="str">
        <f>"S0055_Dissolved_Oxygen_Solubility_Calculator"</f>
        <v>S0055_Dissolved_Oxygen_Solubility_Calculator</v>
      </c>
      <c r="C36" s="2" t="s">
        <v>6127</v>
      </c>
      <c r="D36" s="2" t="s">
        <v>6021</v>
      </c>
      <c r="E36" s="2" t="s">
        <v>13</v>
      </c>
      <c r="G36" s="3">
        <v>44034</v>
      </c>
      <c r="H36" s="2" t="s">
        <v>6128</v>
      </c>
      <c r="I36" s="2" t="s">
        <v>15</v>
      </c>
      <c r="J36" s="2" t="s">
        <v>6129</v>
      </c>
    </row>
    <row r="37" spans="1:10" x14ac:dyDescent="0.25">
      <c r="A37" s="2" t="s">
        <v>6019</v>
      </c>
      <c r="B37" s="2" t="str">
        <f>"S0047_Circular_Culvert_Design_Calculations"</f>
        <v>S0047_Circular_Culvert_Design_Calculations</v>
      </c>
      <c r="C37" s="2" t="s">
        <v>6130</v>
      </c>
      <c r="D37" s="2" t="s">
        <v>6021</v>
      </c>
      <c r="E37" s="2" t="s">
        <v>13</v>
      </c>
      <c r="G37" s="3">
        <v>43672</v>
      </c>
      <c r="H37" s="2" t="s">
        <v>6131</v>
      </c>
      <c r="I37" s="2" t="s">
        <v>15</v>
      </c>
      <c r="J37" s="2" t="s">
        <v>6132</v>
      </c>
    </row>
    <row r="38" spans="1:10" x14ac:dyDescent="0.25">
      <c r="A38" s="2" t="s">
        <v>6019</v>
      </c>
      <c r="B38" s="2" t="str">
        <f>"S0036_Reinforced_Concrete_Beam_Deflection"</f>
        <v>S0036_Reinforced_Concrete_Beam_Deflection</v>
      </c>
      <c r="C38" s="2" t="s">
        <v>6133</v>
      </c>
      <c r="D38" s="2" t="s">
        <v>6075</v>
      </c>
      <c r="E38" s="2" t="s">
        <v>13</v>
      </c>
      <c r="G38" s="3">
        <v>42977</v>
      </c>
      <c r="H38" s="2" t="s">
        <v>6134</v>
      </c>
      <c r="I38" s="2" t="s">
        <v>15</v>
      </c>
      <c r="J38" s="2" t="s">
        <v>6135</v>
      </c>
    </row>
    <row r="39" spans="1:10" x14ac:dyDescent="0.25">
      <c r="A39" s="2" t="s">
        <v>6019</v>
      </c>
      <c r="B39" s="2" t="str">
        <f>"S0038_Mininum_Required_Pipe_Wall_Thickness_and_Maximum_Allowable_Working_Pressure_MAWP"</f>
        <v>S0038_Mininum_Required_Pipe_Wall_Thickness_and_Maximum_Allowable_Working_Pressure_MAWP</v>
      </c>
      <c r="C39" s="2" t="s">
        <v>6136</v>
      </c>
      <c r="D39" s="2" t="s">
        <v>6021</v>
      </c>
      <c r="E39" s="2" t="s">
        <v>13</v>
      </c>
      <c r="G39" s="3">
        <v>43496</v>
      </c>
      <c r="H39" s="2" t="s">
        <v>6137</v>
      </c>
      <c r="I39" s="2" t="s">
        <v>15</v>
      </c>
      <c r="J39" s="2" t="s">
        <v>6138</v>
      </c>
    </row>
    <row r="40" spans="1:10" x14ac:dyDescent="0.25">
      <c r="A40" s="2" t="s">
        <v>6019</v>
      </c>
      <c r="B40" s="2" t="str">
        <f>"S0019_Inductance_Capacitance_Resonance_and_Time_Constants_Basic_Calculations"</f>
        <v>S0019_Inductance_Capacitance_Resonance_and_Time_Constants_Basic_Calculations</v>
      </c>
      <c r="C40" s="2" t="s">
        <v>6139</v>
      </c>
      <c r="D40" s="2" t="s">
        <v>6140</v>
      </c>
      <c r="E40" s="2" t="s">
        <v>13</v>
      </c>
      <c r="G40" s="3">
        <v>43447</v>
      </c>
      <c r="H40" s="2" t="s">
        <v>6141</v>
      </c>
      <c r="I40" s="2" t="s">
        <v>15</v>
      </c>
      <c r="J40" s="2" t="s">
        <v>6142</v>
      </c>
    </row>
    <row r="41" spans="1:10" x14ac:dyDescent="0.25">
      <c r="A41" s="2" t="s">
        <v>6019</v>
      </c>
      <c r="B41" s="2" t="str">
        <f>"S0025_Analysis_of_a_Fixed_Fixed_Beam"</f>
        <v>S0025_Analysis_of_a_Fixed_Fixed_Beam</v>
      </c>
      <c r="C41" s="2" t="s">
        <v>6143</v>
      </c>
      <c r="D41" s="2" t="s">
        <v>6041</v>
      </c>
      <c r="E41" s="2" t="s">
        <v>13</v>
      </c>
      <c r="G41" s="3">
        <v>43448</v>
      </c>
      <c r="H41" s="2" t="s">
        <v>6072</v>
      </c>
      <c r="I41" s="2" t="s">
        <v>15</v>
      </c>
      <c r="J41" s="2" t="s">
        <v>6144</v>
      </c>
    </row>
    <row r="42" spans="1:10" x14ac:dyDescent="0.25">
      <c r="A42" s="2" t="s">
        <v>6019</v>
      </c>
      <c r="B42" s="2" t="str">
        <f>"S0022_Liquid_Liquid_Extraction_Solvent_Screening"</f>
        <v>S0022_Liquid_Liquid_Extraction_Solvent_Screening</v>
      </c>
      <c r="C42" s="2" t="s">
        <v>6145</v>
      </c>
      <c r="D42" s="2" t="s">
        <v>6021</v>
      </c>
      <c r="E42" s="2" t="s">
        <v>13</v>
      </c>
      <c r="G42" s="3">
        <v>43495</v>
      </c>
      <c r="H42" s="2" t="s">
        <v>6146</v>
      </c>
      <c r="I42" s="2" t="s">
        <v>15</v>
      </c>
      <c r="J42" s="2" t="s">
        <v>6147</v>
      </c>
    </row>
    <row r="43" spans="1:10" x14ac:dyDescent="0.25">
      <c r="A43" s="2" t="s">
        <v>6019</v>
      </c>
      <c r="B43" s="2" t="str">
        <f>"S0010_Peak_Stormwater_Runoff_Calculation_with_the_Rational_Method"</f>
        <v>S0010_Peak_Stormwater_Runoff_Calculation_with_the_Rational_Method</v>
      </c>
      <c r="C43" s="2" t="s">
        <v>6148</v>
      </c>
      <c r="D43" s="2" t="s">
        <v>6031</v>
      </c>
      <c r="E43" s="2" t="s">
        <v>13</v>
      </c>
      <c r="G43" s="3">
        <v>43454</v>
      </c>
      <c r="H43" s="2" t="s">
        <v>6149</v>
      </c>
      <c r="I43" s="2" t="s">
        <v>15</v>
      </c>
      <c r="J43" s="2" t="s">
        <v>6150</v>
      </c>
    </row>
    <row r="44" spans="1:10" x14ac:dyDescent="0.25">
      <c r="A44" s="2" t="s">
        <v>6019</v>
      </c>
      <c r="B44" s="2" t="str">
        <f>"S0053_Solubility_of_Gases_in_Water"</f>
        <v>S0053_Solubility_of_Gases_in_Water</v>
      </c>
      <c r="C44" s="2" t="s">
        <v>6151</v>
      </c>
      <c r="D44" s="2" t="s">
        <v>6021</v>
      </c>
      <c r="E44" s="2" t="s">
        <v>13</v>
      </c>
      <c r="G44" s="3">
        <v>43918</v>
      </c>
      <c r="H44" s="2" t="s">
        <v>6152</v>
      </c>
      <c r="I44" s="2" t="s">
        <v>15</v>
      </c>
      <c r="J44" s="2" t="s">
        <v>6153</v>
      </c>
    </row>
    <row r="45" spans="1:10" x14ac:dyDescent="0.25">
      <c r="A45" s="2" t="s">
        <v>6019</v>
      </c>
      <c r="B45" s="2" t="str">
        <f>"S0054_Flow_Rate_through_Parshall_Flume"</f>
        <v>S0054_Flow_Rate_through_Parshall_Flume</v>
      </c>
      <c r="C45" s="2" t="s">
        <v>6154</v>
      </c>
      <c r="D45" s="2" t="s">
        <v>6021</v>
      </c>
      <c r="E45" s="2" t="s">
        <v>13</v>
      </c>
      <c r="G45" s="3">
        <v>43924</v>
      </c>
      <c r="H45" s="2" t="s">
        <v>6155</v>
      </c>
      <c r="I45" s="2" t="s">
        <v>15</v>
      </c>
      <c r="J45" s="2" t="s">
        <v>6156</v>
      </c>
    </row>
    <row r="46" spans="1:10" x14ac:dyDescent="0.25">
      <c r="A46" s="2" t="s">
        <v>6019</v>
      </c>
      <c r="B46" s="2" t="str">
        <f>"S0030_Stress_Transformation_Calculations"</f>
        <v>S0030_Stress_Transformation_Calculations</v>
      </c>
      <c r="C46" s="2" t="s">
        <v>6157</v>
      </c>
      <c r="D46" s="2" t="s">
        <v>6041</v>
      </c>
      <c r="E46" s="2" t="s">
        <v>13</v>
      </c>
      <c r="G46" s="3">
        <v>43447</v>
      </c>
      <c r="H46" s="2" t="s">
        <v>6158</v>
      </c>
      <c r="I46" s="2" t="s">
        <v>15</v>
      </c>
      <c r="J46" s="2" t="s">
        <v>6159</v>
      </c>
    </row>
    <row r="47" spans="1:10" x14ac:dyDescent="0.25">
      <c r="A47" s="2" t="s">
        <v>6019</v>
      </c>
      <c r="B47" s="2" t="str">
        <f>"S0035_Compressibility_Factor_Calculator_Final_Protected"</f>
        <v>S0035_Compressibility_Factor_Calculator_Final_Protected</v>
      </c>
      <c r="C47" s="2" t="s">
        <v>6160</v>
      </c>
      <c r="D47" s="2" t="s">
        <v>6021</v>
      </c>
      <c r="E47" s="2" t="s">
        <v>13</v>
      </c>
      <c r="G47" s="3">
        <v>43497</v>
      </c>
      <c r="H47" s="2" t="s">
        <v>6161</v>
      </c>
      <c r="I47" s="2" t="s">
        <v>15</v>
      </c>
      <c r="J47" s="2" t="s">
        <v>6162</v>
      </c>
    </row>
    <row r="48" spans="1:10" x14ac:dyDescent="0.25">
      <c r="A48" s="2" t="s">
        <v>6019</v>
      </c>
      <c r="B48" s="2" t="str">
        <f>"S0039_Dissolved_Air_Flotation_Design_Calculations"</f>
        <v>S0039_Dissolved_Air_Flotation_Design_Calculations</v>
      </c>
      <c r="C48" s="2" t="s">
        <v>6163</v>
      </c>
      <c r="D48" s="2" t="s">
        <v>6021</v>
      </c>
      <c r="E48" s="2" t="s">
        <v>13</v>
      </c>
      <c r="G48" s="3">
        <v>43448</v>
      </c>
      <c r="H48" s="2" t="s">
        <v>6164</v>
      </c>
      <c r="I48" s="2" t="s">
        <v>15</v>
      </c>
      <c r="J48" s="2" t="s">
        <v>6165</v>
      </c>
    </row>
    <row r="49" spans="1:10" x14ac:dyDescent="0.25">
      <c r="A49" s="2" t="s">
        <v>6019</v>
      </c>
      <c r="B49" s="2" t="str">
        <f>"S0057_Lamella_Inclined_Plate_Clarifier"</f>
        <v>S0057_Lamella_Inclined_Plate_Clarifier</v>
      </c>
      <c r="C49" s="2" t="s">
        <v>6166</v>
      </c>
      <c r="D49" s="2" t="s">
        <v>6021</v>
      </c>
      <c r="E49" s="2" t="s">
        <v>13</v>
      </c>
      <c r="G49" s="3">
        <v>44069</v>
      </c>
      <c r="H49" s="2" t="s">
        <v>6167</v>
      </c>
      <c r="I49" s="2" t="s">
        <v>15</v>
      </c>
      <c r="J49" s="2" t="s">
        <v>6168</v>
      </c>
    </row>
    <row r="50" spans="1:10" x14ac:dyDescent="0.25">
      <c r="A50" s="2" t="s">
        <v>6019</v>
      </c>
      <c r="B50" s="2" t="str">
        <f>"S0018_Analysis_of_AC_and_DC_Circuits_Basic_Calculations"</f>
        <v>S0018_Analysis_of_AC_and_DC_Circuits_Basic_Calculations</v>
      </c>
      <c r="C50" s="2" t="s">
        <v>6169</v>
      </c>
      <c r="D50" s="2" t="s">
        <v>6140</v>
      </c>
      <c r="E50" s="2" t="s">
        <v>13</v>
      </c>
      <c r="G50" s="3">
        <v>43447</v>
      </c>
      <c r="H50" s="2" t="s">
        <v>6170</v>
      </c>
      <c r="I50" s="2" t="s">
        <v>15</v>
      </c>
      <c r="J50" s="2" t="s">
        <v>6171</v>
      </c>
    </row>
    <row r="51" spans="1:10" x14ac:dyDescent="0.25">
      <c r="A51" s="2" t="s">
        <v>6019</v>
      </c>
      <c r="B51" s="2" t="str">
        <f>"S0012_Uniform_Open_Channel_Flow_Manning_Equation"</f>
        <v>S0012_Uniform_Open_Channel_Flow_Manning_Equation</v>
      </c>
      <c r="C51" s="2" t="s">
        <v>6172</v>
      </c>
      <c r="D51" s="2" t="s">
        <v>6031</v>
      </c>
      <c r="E51" s="2" t="s">
        <v>13</v>
      </c>
      <c r="G51" s="3">
        <v>43502</v>
      </c>
      <c r="H51" s="2" t="s">
        <v>6173</v>
      </c>
      <c r="I51" s="2" t="s">
        <v>15</v>
      </c>
      <c r="J51" s="2" t="s">
        <v>6174</v>
      </c>
    </row>
    <row r="52" spans="1:10" x14ac:dyDescent="0.25">
      <c r="A52" s="2" t="s">
        <v>6019</v>
      </c>
      <c r="B52" s="2" t="str">
        <f>"S0046_Hazen-Williams_Pipe_Flow_Calculations"</f>
        <v>S0046_Hazen-Williams_Pipe_Flow_Calculations</v>
      </c>
      <c r="C52" s="2" t="s">
        <v>6175</v>
      </c>
      <c r="D52" s="2" t="s">
        <v>6021</v>
      </c>
      <c r="E52" s="2" t="s">
        <v>13</v>
      </c>
      <c r="G52" s="3">
        <v>43572</v>
      </c>
      <c r="H52" s="2" t="s">
        <v>6176</v>
      </c>
      <c r="I52" s="2" t="s">
        <v>15</v>
      </c>
      <c r="J52" s="2" t="s">
        <v>6177</v>
      </c>
    </row>
    <row r="53" spans="1:10" x14ac:dyDescent="0.25">
      <c r="A53" s="2" t="s">
        <v>6019</v>
      </c>
      <c r="B53" s="2" t="str">
        <f>"S0003_Compressible_Fanno_Flow_of_Air_in_a_Pipe"</f>
        <v>S0003_Compressible_Fanno_Flow_of_Air_in_a_Pipe</v>
      </c>
      <c r="C53" s="2" t="s">
        <v>6178</v>
      </c>
      <c r="D53" s="2" t="s">
        <v>6031</v>
      </c>
      <c r="E53" s="2" t="s">
        <v>13</v>
      </c>
      <c r="G53" s="3">
        <v>43490</v>
      </c>
      <c r="H53" s="2" t="s">
        <v>6179</v>
      </c>
      <c r="I53" s="2" t="s">
        <v>15</v>
      </c>
      <c r="J53" s="2" t="s">
        <v>6180</v>
      </c>
    </row>
    <row r="54" spans="1:10" x14ac:dyDescent="0.25">
      <c r="A54" s="2" t="s">
        <v>6019</v>
      </c>
      <c r="B54" s="2" t="str">
        <f>"S0017_Natural_Gas_Pipeline_Flow_Calculations"</f>
        <v>S0017_Natural_Gas_Pipeline_Flow_Calculations</v>
      </c>
      <c r="C54" s="2" t="s">
        <v>6181</v>
      </c>
      <c r="D54" s="2" t="s">
        <v>6021</v>
      </c>
      <c r="E54" s="2" t="s">
        <v>13</v>
      </c>
      <c r="G54" s="3">
        <v>42230</v>
      </c>
      <c r="H54" s="2" t="s">
        <v>6182</v>
      </c>
      <c r="I54" s="2" t="s">
        <v>15</v>
      </c>
      <c r="J54" s="2" t="s">
        <v>6183</v>
      </c>
    </row>
    <row r="55" spans="1:10" x14ac:dyDescent="0.25">
      <c r="A55" s="2" t="s">
        <v>6019</v>
      </c>
      <c r="B55" s="2" t="str">
        <f>"S0023_Antennas_and_Transmission_Lines_Basic_Calculations"</f>
        <v>S0023_Antennas_and_Transmission_Lines_Basic_Calculations</v>
      </c>
      <c r="C55" s="2" t="s">
        <v>6184</v>
      </c>
      <c r="D55" s="2" t="s">
        <v>6140</v>
      </c>
      <c r="E55" s="2" t="s">
        <v>13</v>
      </c>
      <c r="G55" s="3">
        <v>43447</v>
      </c>
      <c r="H55" s="2" t="s">
        <v>6185</v>
      </c>
      <c r="I55" s="2" t="s">
        <v>15</v>
      </c>
      <c r="J55" s="2" t="s">
        <v>6186</v>
      </c>
    </row>
    <row r="56" spans="1:10" x14ac:dyDescent="0.25">
      <c r="A56" s="2" t="s">
        <v>6019</v>
      </c>
      <c r="B56" s="2" t="str">
        <f>"S0052_Broad_Crested_Weir_Calculations"</f>
        <v>S0052_Broad_Crested_Weir_Calculations</v>
      </c>
      <c r="C56" s="2" t="s">
        <v>6187</v>
      </c>
      <c r="D56" s="2" t="s">
        <v>6021</v>
      </c>
      <c r="E56" s="2" t="s">
        <v>13</v>
      </c>
      <c r="G56" s="3">
        <v>43914</v>
      </c>
      <c r="H56" s="2" t="s">
        <v>6188</v>
      </c>
      <c r="I56" s="2" t="s">
        <v>15</v>
      </c>
      <c r="J56" s="2" t="s">
        <v>6189</v>
      </c>
    </row>
    <row r="57" spans="1:10" x14ac:dyDescent="0.25">
      <c r="A57" s="2" t="s">
        <v>6019</v>
      </c>
      <c r="B57" s="2" t="str">
        <f>"S0031_Venturi_Meter_Calculations"</f>
        <v>S0031_Venturi_Meter_Calculations</v>
      </c>
      <c r="C57" s="2" t="s">
        <v>6190</v>
      </c>
      <c r="D57" s="2" t="s">
        <v>6021</v>
      </c>
      <c r="E57" s="2" t="s">
        <v>13</v>
      </c>
      <c r="G57" s="3">
        <v>43496</v>
      </c>
      <c r="H57" s="2" t="s">
        <v>6191</v>
      </c>
      <c r="I57" s="2" t="s">
        <v>15</v>
      </c>
      <c r="J57" s="2" t="s">
        <v>6192</v>
      </c>
    </row>
    <row r="58" spans="1:10" x14ac:dyDescent="0.25">
      <c r="A58" s="2" t="s">
        <v>6019</v>
      </c>
      <c r="B58" s="2" t="str">
        <f>"S0008_Natural_Convection_Heat_Transfer_Coefficients"</f>
        <v>S0008_Natural_Convection_Heat_Transfer_Coefficients</v>
      </c>
      <c r="C58" s="2" t="s">
        <v>6193</v>
      </c>
      <c r="D58" s="2" t="s">
        <v>6031</v>
      </c>
      <c r="E58" s="2" t="s">
        <v>13</v>
      </c>
      <c r="G58" s="3">
        <v>43495</v>
      </c>
      <c r="H58" s="2" t="s">
        <v>6194</v>
      </c>
      <c r="I58" s="2" t="s">
        <v>15</v>
      </c>
      <c r="J58" s="2" t="s">
        <v>6195</v>
      </c>
    </row>
    <row r="59" spans="1:10" x14ac:dyDescent="0.25">
      <c r="A59" s="2" t="s">
        <v>6019</v>
      </c>
      <c r="B59" s="2" t="str">
        <f>"S0058_Rain_Loads"</f>
        <v>S0058_Rain_Loads</v>
      </c>
      <c r="C59" s="2" t="s">
        <v>6196</v>
      </c>
      <c r="D59" s="2" t="s">
        <v>6197</v>
      </c>
      <c r="E59" s="2" t="s">
        <v>13</v>
      </c>
      <c r="G59" s="3">
        <v>44305</v>
      </c>
      <c r="H59" s="2" t="s">
        <v>6198</v>
      </c>
      <c r="I59" s="2" t="s">
        <v>15</v>
      </c>
      <c r="J59" s="2" t="s">
        <v>6199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AccessEngineering_Books</vt:lpstr>
      <vt:lpstr>AccessEngineering_Videos</vt:lpstr>
      <vt:lpstr>AccessEngineering_Spreadsheets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2021-04-23T13:49:36Z</dcterms:modified>
</cp:coreProperties>
</file>